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jling\Desktop\SCE17HC013\Revised Files\"/>
    </mc:Choice>
  </mc:AlternateContent>
  <bookViews>
    <workbookView xWindow="0" yWindow="0" windowWidth="5770" windowHeight="2750"/>
  </bookViews>
  <sheets>
    <sheet name="Cost Summary" sheetId="7" r:id="rId1"/>
    <sheet name="Residential Cost" sheetId="3" r:id="rId2"/>
    <sheet name="Escalation Factor" sheetId="8" r:id="rId3"/>
    <sheet name="PGE Cost Source" sheetId="9" r:id="rId4"/>
  </sheets>
  <externalReferences>
    <externalReference r:id="rId5"/>
    <externalReference r:id="rId6"/>
  </externalReferences>
  <definedNames>
    <definedName name="_xlnm._FilterDatabase" localSheetId="3" hidden="1">'PGE Cost Source'!$A$5:$BC$100</definedName>
    <definedName name="DatCol" localSheetId="3">#REF!</definedName>
    <definedName name="DatCol">#REF!</definedName>
    <definedName name="DatCZ" localSheetId="3">#REF!</definedName>
    <definedName name="DatCZ">#REF!</definedName>
    <definedName name="DatCZlbl" localSheetId="3">#REF!</definedName>
    <definedName name="DatCZlbl">#REF!</definedName>
    <definedName name="DatDec" localSheetId="3">#REF!</definedName>
    <definedName name="DatDec">#REF!</definedName>
    <definedName name="DatEnd" localSheetId="3">#REF!</definedName>
    <definedName name="DatEnd">#REF!</definedName>
    <definedName name="DatFldName" localSheetId="3">#REF!</definedName>
    <definedName name="DatFldName">#REF!</definedName>
    <definedName name="DatMet" localSheetId="3">#REF!</definedName>
    <definedName name="DatMet">#REF!</definedName>
    <definedName name="DatStart" localSheetId="3">#REF!</definedName>
    <definedName name="DatStart">#REF!</definedName>
    <definedName name="DegHr">[2]compare!$U$2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7" l="1"/>
  <c r="M7" i="7"/>
  <c r="K10" i="7" l="1"/>
  <c r="K8" i="7" s="1"/>
  <c r="M8" i="7" s="1"/>
  <c r="K7" i="7"/>
  <c r="G23" i="3"/>
  <c r="F23" i="3"/>
  <c r="G40" i="3" l="1"/>
  <c r="F40" i="3"/>
  <c r="G39" i="3"/>
  <c r="F39" i="3"/>
  <c r="BB100" i="9"/>
  <c r="AZ100" i="9"/>
  <c r="AY100" i="9"/>
  <c r="AW100" i="9"/>
  <c r="AU100" i="9"/>
  <c r="AT100" i="9"/>
  <c r="AS100" i="9"/>
  <c r="AR100" i="9"/>
  <c r="AQ100" i="9"/>
  <c r="J100" i="9"/>
  <c r="BB99" i="9"/>
  <c r="AZ99" i="9"/>
  <c r="AY99" i="9"/>
  <c r="AW99" i="9"/>
  <c r="AU99" i="9"/>
  <c r="AT99" i="9"/>
  <c r="AS99" i="9"/>
  <c r="AR99" i="9"/>
  <c r="AQ99" i="9"/>
  <c r="J99" i="9"/>
  <c r="BB98" i="9"/>
  <c r="AZ98" i="9"/>
  <c r="AY98" i="9"/>
  <c r="AW98" i="9"/>
  <c r="AU98" i="9"/>
  <c r="AT98" i="9"/>
  <c r="AS98" i="9"/>
  <c r="AR98" i="9"/>
  <c r="AQ98" i="9"/>
  <c r="J98" i="9"/>
  <c r="BB97" i="9"/>
  <c r="AZ97" i="9"/>
  <c r="AY97" i="9"/>
  <c r="AW97" i="9"/>
  <c r="AU97" i="9"/>
  <c r="AT97" i="9"/>
  <c r="AS97" i="9"/>
  <c r="AR97" i="9"/>
  <c r="AQ97" i="9"/>
  <c r="J97" i="9"/>
  <c r="BB96" i="9"/>
  <c r="AZ96" i="9"/>
  <c r="AY96" i="9"/>
  <c r="AW96" i="9"/>
  <c r="AU96" i="9"/>
  <c r="AT96" i="9"/>
  <c r="AS96" i="9"/>
  <c r="AR96" i="9"/>
  <c r="AQ96" i="9"/>
  <c r="J96" i="9"/>
  <c r="BB95" i="9"/>
  <c r="AZ95" i="9"/>
  <c r="AY95" i="9"/>
  <c r="AW95" i="9"/>
  <c r="AU95" i="9"/>
  <c r="AT95" i="9"/>
  <c r="AS95" i="9"/>
  <c r="AR95" i="9"/>
  <c r="AQ95" i="9"/>
  <c r="J95" i="9"/>
  <c r="BB94" i="9"/>
  <c r="AZ94" i="9"/>
  <c r="AY94" i="9"/>
  <c r="AW94" i="9"/>
  <c r="AU94" i="9"/>
  <c r="AT94" i="9"/>
  <c r="AS94" i="9"/>
  <c r="AR94" i="9"/>
  <c r="AQ94" i="9"/>
  <c r="J94" i="9"/>
  <c r="BB93" i="9"/>
  <c r="AZ93" i="9"/>
  <c r="AY93" i="9"/>
  <c r="AW93" i="9"/>
  <c r="AU93" i="9"/>
  <c r="AT93" i="9"/>
  <c r="AS93" i="9"/>
  <c r="AR93" i="9"/>
  <c r="AQ93" i="9"/>
  <c r="J93" i="9"/>
  <c r="BB92" i="9"/>
  <c r="AZ92" i="9"/>
  <c r="AY92" i="9"/>
  <c r="AW92" i="9"/>
  <c r="AU92" i="9"/>
  <c r="AT92" i="9"/>
  <c r="AS92" i="9"/>
  <c r="AR92" i="9"/>
  <c r="AQ92" i="9"/>
  <c r="J92" i="9"/>
  <c r="BB91" i="9"/>
  <c r="AZ91" i="9"/>
  <c r="AY91" i="9"/>
  <c r="AW91" i="9"/>
  <c r="AU91" i="9"/>
  <c r="AT91" i="9"/>
  <c r="AS91" i="9"/>
  <c r="AR91" i="9"/>
  <c r="AQ91" i="9"/>
  <c r="J91" i="9"/>
  <c r="BB90" i="9"/>
  <c r="AZ90" i="9"/>
  <c r="AY90" i="9"/>
  <c r="AW90" i="9"/>
  <c r="AU90" i="9"/>
  <c r="AT90" i="9"/>
  <c r="AS90" i="9"/>
  <c r="AR90" i="9"/>
  <c r="AQ90" i="9"/>
  <c r="J90" i="9"/>
  <c r="BB89" i="9"/>
  <c r="AZ89" i="9"/>
  <c r="AY89" i="9"/>
  <c r="AW89" i="9"/>
  <c r="AU89" i="9"/>
  <c r="AT89" i="9"/>
  <c r="AS89" i="9"/>
  <c r="AR89" i="9"/>
  <c r="AQ89" i="9"/>
  <c r="J89" i="9"/>
  <c r="BB88" i="9"/>
  <c r="AZ88" i="9"/>
  <c r="AY88" i="9"/>
  <c r="AW88" i="9"/>
  <c r="AU88" i="9"/>
  <c r="AT88" i="9"/>
  <c r="AS88" i="9"/>
  <c r="AR88" i="9"/>
  <c r="AQ88" i="9"/>
  <c r="J88" i="9"/>
  <c r="BB87" i="9"/>
  <c r="AZ87" i="9"/>
  <c r="AY87" i="9"/>
  <c r="AW87" i="9"/>
  <c r="AU87" i="9"/>
  <c r="AT87" i="9"/>
  <c r="AS87" i="9"/>
  <c r="AR87" i="9"/>
  <c r="AQ87" i="9"/>
  <c r="J87" i="9"/>
  <c r="BB86" i="9"/>
  <c r="AZ86" i="9"/>
  <c r="AY86" i="9"/>
  <c r="AW86" i="9"/>
  <c r="AU86" i="9"/>
  <c r="AT86" i="9"/>
  <c r="AS86" i="9"/>
  <c r="AR86" i="9"/>
  <c r="AQ86" i="9"/>
  <c r="J86" i="9"/>
  <c r="BB85" i="9"/>
  <c r="AZ85" i="9"/>
  <c r="AY85" i="9"/>
  <c r="AW85" i="9"/>
  <c r="AU85" i="9"/>
  <c r="AT85" i="9"/>
  <c r="AS85" i="9"/>
  <c r="AR85" i="9"/>
  <c r="AQ85" i="9"/>
  <c r="J85" i="9"/>
  <c r="BB84" i="9"/>
  <c r="AZ84" i="9"/>
  <c r="AY84" i="9"/>
  <c r="AW84" i="9"/>
  <c r="AU84" i="9"/>
  <c r="AT84" i="9"/>
  <c r="AS84" i="9"/>
  <c r="AR84" i="9"/>
  <c r="AQ84" i="9"/>
  <c r="J84" i="9"/>
  <c r="BB83" i="9"/>
  <c r="AZ83" i="9"/>
  <c r="AY83" i="9"/>
  <c r="AW83" i="9"/>
  <c r="AU83" i="9"/>
  <c r="AT83" i="9"/>
  <c r="AS83" i="9"/>
  <c r="AR83" i="9"/>
  <c r="AQ83" i="9"/>
  <c r="J83" i="9"/>
  <c r="BB82" i="9"/>
  <c r="AZ82" i="9"/>
  <c r="AY82" i="9"/>
  <c r="AW82" i="9"/>
  <c r="AU82" i="9"/>
  <c r="AT82" i="9"/>
  <c r="AS82" i="9"/>
  <c r="AR82" i="9"/>
  <c r="AQ82" i="9"/>
  <c r="J82" i="9"/>
  <c r="BB81" i="9"/>
  <c r="AZ81" i="9"/>
  <c r="AY81" i="9"/>
  <c r="AW81" i="9"/>
  <c r="AU81" i="9"/>
  <c r="AT81" i="9"/>
  <c r="AS81" i="9"/>
  <c r="AR81" i="9"/>
  <c r="AQ81" i="9"/>
  <c r="J81" i="9"/>
  <c r="BB80" i="9"/>
  <c r="AZ80" i="9"/>
  <c r="AY80" i="9"/>
  <c r="AW80" i="9"/>
  <c r="AU80" i="9"/>
  <c r="AT80" i="9"/>
  <c r="AS80" i="9"/>
  <c r="AR80" i="9"/>
  <c r="AQ80" i="9"/>
  <c r="J80" i="9"/>
  <c r="BB79" i="9"/>
  <c r="AZ79" i="9"/>
  <c r="AY79" i="9"/>
  <c r="AW79" i="9"/>
  <c r="AU79" i="9"/>
  <c r="AT79" i="9"/>
  <c r="AS79" i="9"/>
  <c r="AR79" i="9"/>
  <c r="AQ79" i="9"/>
  <c r="J79" i="9"/>
  <c r="BB78" i="9"/>
  <c r="AZ78" i="9"/>
  <c r="AY78" i="9"/>
  <c r="AW78" i="9"/>
  <c r="AU78" i="9"/>
  <c r="AT78" i="9"/>
  <c r="AS78" i="9"/>
  <c r="AR78" i="9"/>
  <c r="AQ78" i="9"/>
  <c r="J78" i="9"/>
  <c r="BB77" i="9"/>
  <c r="AZ77" i="9"/>
  <c r="AY77" i="9"/>
  <c r="AW77" i="9"/>
  <c r="AU77" i="9"/>
  <c r="AT77" i="9"/>
  <c r="AS77" i="9"/>
  <c r="AR77" i="9"/>
  <c r="AQ77" i="9"/>
  <c r="J77" i="9"/>
  <c r="BB76" i="9"/>
  <c r="AZ76" i="9"/>
  <c r="AY76" i="9"/>
  <c r="AW76" i="9"/>
  <c r="AU76" i="9"/>
  <c r="AT76" i="9"/>
  <c r="AS76" i="9"/>
  <c r="AR76" i="9"/>
  <c r="AQ76" i="9"/>
  <c r="J76" i="9"/>
  <c r="BB75" i="9"/>
  <c r="AZ75" i="9"/>
  <c r="AY75" i="9"/>
  <c r="AW75" i="9"/>
  <c r="AU75" i="9"/>
  <c r="AT75" i="9"/>
  <c r="AS75" i="9"/>
  <c r="AR75" i="9"/>
  <c r="AQ75" i="9"/>
  <c r="J75" i="9"/>
  <c r="BB74" i="9"/>
  <c r="AZ74" i="9"/>
  <c r="AY74" i="9"/>
  <c r="AW74" i="9"/>
  <c r="AU74" i="9"/>
  <c r="AT74" i="9"/>
  <c r="AS74" i="9"/>
  <c r="AR74" i="9"/>
  <c r="AQ74" i="9"/>
  <c r="J74" i="9"/>
  <c r="BB73" i="9"/>
  <c r="AZ73" i="9"/>
  <c r="AY73" i="9"/>
  <c r="AW73" i="9"/>
  <c r="AU73" i="9"/>
  <c r="AT73" i="9"/>
  <c r="AS73" i="9"/>
  <c r="AR73" i="9"/>
  <c r="AQ73" i="9"/>
  <c r="J73" i="9"/>
  <c r="BB72" i="9"/>
  <c r="AZ72" i="9"/>
  <c r="AY72" i="9"/>
  <c r="AW72" i="9"/>
  <c r="AU72" i="9"/>
  <c r="AT72" i="9"/>
  <c r="AS72" i="9"/>
  <c r="AR72" i="9"/>
  <c r="AQ72" i="9"/>
  <c r="J72" i="9"/>
  <c r="BB71" i="9"/>
  <c r="AZ71" i="9"/>
  <c r="AY71" i="9"/>
  <c r="AW71" i="9"/>
  <c r="AU71" i="9"/>
  <c r="AT71" i="9"/>
  <c r="AS71" i="9"/>
  <c r="AR71" i="9"/>
  <c r="AQ71" i="9"/>
  <c r="J71" i="9"/>
  <c r="BB70" i="9"/>
  <c r="AZ70" i="9"/>
  <c r="AY70" i="9"/>
  <c r="AW70" i="9"/>
  <c r="AU70" i="9"/>
  <c r="AT70" i="9"/>
  <c r="AS70" i="9"/>
  <c r="AR70" i="9"/>
  <c r="AQ70" i="9"/>
  <c r="J70" i="9"/>
  <c r="BB69" i="9"/>
  <c r="AZ69" i="9"/>
  <c r="AY69" i="9"/>
  <c r="AW69" i="9"/>
  <c r="AU69" i="9"/>
  <c r="AT69" i="9"/>
  <c r="AS69" i="9"/>
  <c r="AR69" i="9"/>
  <c r="AQ69" i="9"/>
  <c r="J69" i="9"/>
  <c r="BB68" i="9"/>
  <c r="AZ68" i="9"/>
  <c r="AY68" i="9"/>
  <c r="AW68" i="9"/>
  <c r="AU68" i="9"/>
  <c r="AT68" i="9"/>
  <c r="AS68" i="9"/>
  <c r="AR68" i="9"/>
  <c r="AQ68" i="9"/>
  <c r="J68" i="9"/>
  <c r="BB67" i="9"/>
  <c r="AZ67" i="9"/>
  <c r="AY67" i="9"/>
  <c r="AW67" i="9"/>
  <c r="AU67" i="9"/>
  <c r="AT67" i="9"/>
  <c r="AS67" i="9"/>
  <c r="AR67" i="9"/>
  <c r="AQ67" i="9"/>
  <c r="J67" i="9"/>
  <c r="BB66" i="9"/>
  <c r="AZ66" i="9"/>
  <c r="AY66" i="9"/>
  <c r="AW66" i="9"/>
  <c r="AU66" i="9"/>
  <c r="AT66" i="9"/>
  <c r="AS66" i="9"/>
  <c r="AR66" i="9"/>
  <c r="AQ66" i="9"/>
  <c r="J66" i="9"/>
  <c r="BB65" i="9"/>
  <c r="AZ65" i="9"/>
  <c r="AY65" i="9"/>
  <c r="AW65" i="9"/>
  <c r="AU65" i="9"/>
  <c r="AT65" i="9"/>
  <c r="AS65" i="9"/>
  <c r="AR65" i="9"/>
  <c r="AQ65" i="9"/>
  <c r="J65" i="9"/>
  <c r="BB64" i="9"/>
  <c r="AZ64" i="9"/>
  <c r="AY64" i="9"/>
  <c r="AW64" i="9"/>
  <c r="AU64" i="9"/>
  <c r="AT64" i="9"/>
  <c r="AS64" i="9"/>
  <c r="AR64" i="9"/>
  <c r="AQ64" i="9"/>
  <c r="J64" i="9"/>
  <c r="BB63" i="9"/>
  <c r="AZ63" i="9"/>
  <c r="AY63" i="9"/>
  <c r="AW63" i="9"/>
  <c r="AU63" i="9"/>
  <c r="AT63" i="9"/>
  <c r="AS63" i="9"/>
  <c r="AR63" i="9"/>
  <c r="AQ63" i="9"/>
  <c r="J63" i="9"/>
  <c r="BB62" i="9"/>
  <c r="AZ62" i="9"/>
  <c r="AY62" i="9"/>
  <c r="AW62" i="9"/>
  <c r="AU62" i="9"/>
  <c r="AT62" i="9"/>
  <c r="AS62" i="9"/>
  <c r="AR62" i="9"/>
  <c r="AQ62" i="9"/>
  <c r="J62" i="9"/>
  <c r="BB61" i="9"/>
  <c r="AZ61" i="9"/>
  <c r="AY61" i="9"/>
  <c r="AW61" i="9"/>
  <c r="AU61" i="9"/>
  <c r="AT61" i="9"/>
  <c r="AS61" i="9"/>
  <c r="AR61" i="9"/>
  <c r="AQ61" i="9"/>
  <c r="J61" i="9"/>
  <c r="BB60" i="9"/>
  <c r="AZ60" i="9"/>
  <c r="AY60" i="9"/>
  <c r="AW60" i="9"/>
  <c r="AU60" i="9"/>
  <c r="AT60" i="9"/>
  <c r="AS60" i="9"/>
  <c r="AR60" i="9"/>
  <c r="AQ60" i="9"/>
  <c r="J60" i="9"/>
  <c r="BB59" i="9"/>
  <c r="AZ59" i="9"/>
  <c r="AY59" i="9"/>
  <c r="AW59" i="9"/>
  <c r="AU59" i="9"/>
  <c r="AT59" i="9"/>
  <c r="AS59" i="9"/>
  <c r="AR59" i="9"/>
  <c r="AQ59" i="9"/>
  <c r="J59" i="9"/>
  <c r="BB58" i="9"/>
  <c r="AZ58" i="9"/>
  <c r="AY58" i="9"/>
  <c r="AW58" i="9"/>
  <c r="AU58" i="9"/>
  <c r="AT58" i="9"/>
  <c r="AS58" i="9"/>
  <c r="AR58" i="9"/>
  <c r="BE58" i="9" s="1"/>
  <c r="AQ58" i="9"/>
  <c r="BD58" i="9" s="1"/>
  <c r="J58" i="9"/>
  <c r="BD57" i="9"/>
  <c r="BB57" i="9"/>
  <c r="AZ57" i="9"/>
  <c r="AY57" i="9"/>
  <c r="AW57" i="9"/>
  <c r="AU57" i="9"/>
  <c r="AT57" i="9"/>
  <c r="AS57" i="9"/>
  <c r="AR57" i="9"/>
  <c r="BE57" i="9" s="1"/>
  <c r="AQ57" i="9"/>
  <c r="J57" i="9"/>
  <c r="BB56" i="9"/>
  <c r="AR56" i="9" s="1"/>
  <c r="AW56" i="9"/>
  <c r="AQ56" i="9"/>
  <c r="J56" i="9"/>
  <c r="BB55" i="9"/>
  <c r="AS55" i="9" s="1"/>
  <c r="AU55" i="9" s="1"/>
  <c r="AW55" i="9"/>
  <c r="AR55" i="9"/>
  <c r="AQ55" i="9"/>
  <c r="J55" i="9"/>
  <c r="BB54" i="9"/>
  <c r="AQ54" i="9" s="1"/>
  <c r="AW54" i="9"/>
  <c r="J54" i="9"/>
  <c r="BB53" i="9"/>
  <c r="AS53" i="9" s="1"/>
  <c r="AW53" i="9"/>
  <c r="AQ53" i="9"/>
  <c r="J53" i="9"/>
  <c r="BB52" i="9"/>
  <c r="AR52" i="9" s="1"/>
  <c r="AW52" i="9"/>
  <c r="J52" i="9"/>
  <c r="BB51" i="9"/>
  <c r="AS51" i="9" s="1"/>
  <c r="AW51" i="9"/>
  <c r="AQ51" i="9"/>
  <c r="BD51" i="9" s="1"/>
  <c r="J51" i="9"/>
  <c r="BB50" i="9"/>
  <c r="AR50" i="9" s="1"/>
  <c r="AW50" i="9"/>
  <c r="J50" i="9"/>
  <c r="BB49" i="9"/>
  <c r="AS49" i="9" s="1"/>
  <c r="AW49" i="9"/>
  <c r="AQ49" i="9"/>
  <c r="BD49" i="9" s="1"/>
  <c r="J49" i="9"/>
  <c r="BB48" i="9"/>
  <c r="AR48" i="9" s="1"/>
  <c r="AW48" i="9"/>
  <c r="J48" i="9"/>
  <c r="BB47" i="9"/>
  <c r="AS47" i="9" s="1"/>
  <c r="AW47" i="9"/>
  <c r="AQ47" i="9"/>
  <c r="J47" i="9"/>
  <c r="BB46" i="9"/>
  <c r="AQ46" i="9" s="1"/>
  <c r="AW46" i="9"/>
  <c r="J46" i="9"/>
  <c r="BB45" i="9"/>
  <c r="AS45" i="9" s="1"/>
  <c r="AW45" i="9"/>
  <c r="AQ45" i="9"/>
  <c r="J45" i="9"/>
  <c r="BB44" i="9"/>
  <c r="AR44" i="9" s="1"/>
  <c r="AW44" i="9"/>
  <c r="J44" i="9"/>
  <c r="BB43" i="9"/>
  <c r="AS43" i="9" s="1"/>
  <c r="AW43" i="9"/>
  <c r="AQ43" i="9"/>
  <c r="BD43" i="9" s="1"/>
  <c r="J43" i="9"/>
  <c r="BB42" i="9"/>
  <c r="AR42" i="9" s="1"/>
  <c r="AW42" i="9"/>
  <c r="J42" i="9"/>
  <c r="BB41" i="9"/>
  <c r="AS41" i="9" s="1"/>
  <c r="AW41" i="9"/>
  <c r="AQ41" i="9"/>
  <c r="BD41" i="9" s="1"/>
  <c r="J41" i="9"/>
  <c r="BB40" i="9"/>
  <c r="AQ40" i="9" s="1"/>
  <c r="AW40" i="9"/>
  <c r="J40" i="9"/>
  <c r="BB39" i="9"/>
  <c r="AS39" i="9" s="1"/>
  <c r="AW39" i="9"/>
  <c r="AQ39" i="9"/>
  <c r="J39" i="9"/>
  <c r="BB38" i="9"/>
  <c r="AR38" i="9" s="1"/>
  <c r="AW38" i="9"/>
  <c r="J38" i="9"/>
  <c r="BB37" i="9"/>
  <c r="AS37" i="9" s="1"/>
  <c r="AW37" i="9"/>
  <c r="AQ37" i="9"/>
  <c r="J37" i="9"/>
  <c r="BB36" i="9"/>
  <c r="AQ36" i="9" s="1"/>
  <c r="AW36" i="9"/>
  <c r="J36" i="9"/>
  <c r="BB35" i="9"/>
  <c r="AS35" i="9" s="1"/>
  <c r="AW35" i="9"/>
  <c r="AQ35" i="9"/>
  <c r="BD35" i="9" s="1"/>
  <c r="J35" i="9"/>
  <c r="BB34" i="9"/>
  <c r="AR34" i="9" s="1"/>
  <c r="AW34" i="9"/>
  <c r="J34" i="9"/>
  <c r="BB33" i="9"/>
  <c r="AS33" i="9" s="1"/>
  <c r="AW33" i="9"/>
  <c r="AQ33" i="9"/>
  <c r="BD33" i="9" s="1"/>
  <c r="J33" i="9"/>
  <c r="BB32" i="9"/>
  <c r="BA32" i="9"/>
  <c r="AZ32" i="9"/>
  <c r="AY32" i="9" s="1"/>
  <c r="AX32" i="9"/>
  <c r="AW32" i="9"/>
  <c r="AU32" i="9"/>
  <c r="AT32" i="9"/>
  <c r="AS32" i="9"/>
  <c r="AR32" i="9"/>
  <c r="AQ32" i="9"/>
  <c r="J32" i="9"/>
  <c r="BB31" i="9"/>
  <c r="AZ31" i="9"/>
  <c r="AY31" i="9" s="1"/>
  <c r="AX31" i="9"/>
  <c r="AW31" i="9"/>
  <c r="AU31" i="9"/>
  <c r="AT31" i="9"/>
  <c r="AS31" i="9"/>
  <c r="AR31" i="9"/>
  <c r="AQ31" i="9"/>
  <c r="J31" i="9"/>
  <c r="BB30" i="9"/>
  <c r="BA30" i="9"/>
  <c r="AZ30" i="9"/>
  <c r="AY30" i="9" s="1"/>
  <c r="AX30" i="9"/>
  <c r="AW30" i="9"/>
  <c r="AU30" i="9"/>
  <c r="AT30" i="9"/>
  <c r="AS30" i="9"/>
  <c r="AR30" i="9"/>
  <c r="AQ30" i="9"/>
  <c r="J30" i="9"/>
  <c r="BB29" i="9"/>
  <c r="AZ29" i="9"/>
  <c r="AY29" i="9" s="1"/>
  <c r="AX29" i="9"/>
  <c r="AW29" i="9"/>
  <c r="AU29" i="9"/>
  <c r="AT29" i="9"/>
  <c r="AS29" i="9"/>
  <c r="AR29" i="9"/>
  <c r="AQ29" i="9"/>
  <c r="J29" i="9"/>
  <c r="BB28" i="9"/>
  <c r="BA28" i="9"/>
  <c r="AZ28" i="9"/>
  <c r="AY28" i="9" s="1"/>
  <c r="AX28" i="9"/>
  <c r="AW28" i="9"/>
  <c r="AU28" i="9"/>
  <c r="AT28" i="9"/>
  <c r="AS28" i="9"/>
  <c r="AR28" i="9"/>
  <c r="AQ28" i="9"/>
  <c r="J28" i="9"/>
  <c r="BB27" i="9"/>
  <c r="AZ27" i="9"/>
  <c r="AY27" i="9" s="1"/>
  <c r="AX27" i="9"/>
  <c r="AW27" i="9"/>
  <c r="AU27" i="9"/>
  <c r="AT27" i="9"/>
  <c r="AS27" i="9"/>
  <c r="AR27" i="9"/>
  <c r="AQ27" i="9"/>
  <c r="J27" i="9"/>
  <c r="BB26" i="9"/>
  <c r="BA26" i="9"/>
  <c r="AZ26" i="9"/>
  <c r="AY26" i="9" s="1"/>
  <c r="AX26" i="9"/>
  <c r="AW26" i="9"/>
  <c r="AU26" i="9"/>
  <c r="AT26" i="9"/>
  <c r="AS26" i="9"/>
  <c r="AR26" i="9"/>
  <c r="AQ26" i="9"/>
  <c r="J26" i="9"/>
  <c r="BB25" i="9"/>
  <c r="AZ25" i="9"/>
  <c r="AY25" i="9" s="1"/>
  <c r="AX25" i="9"/>
  <c r="AW25" i="9"/>
  <c r="AU25" i="9"/>
  <c r="AT25" i="9"/>
  <c r="AS25" i="9"/>
  <c r="AR25" i="9"/>
  <c r="AQ25" i="9"/>
  <c r="J25" i="9"/>
  <c r="BB24" i="9"/>
  <c r="BA24" i="9"/>
  <c r="AZ24" i="9"/>
  <c r="AY24" i="9" s="1"/>
  <c r="AX24" i="9"/>
  <c r="AW24" i="9"/>
  <c r="AU24" i="9"/>
  <c r="AT24" i="9"/>
  <c r="AS24" i="9"/>
  <c r="AR24" i="9"/>
  <c r="AQ24" i="9"/>
  <c r="J24" i="9"/>
  <c r="BB23" i="9"/>
  <c r="AZ23" i="9"/>
  <c r="AY23" i="9" s="1"/>
  <c r="AX23" i="9"/>
  <c r="AW23" i="9"/>
  <c r="AU23" i="9"/>
  <c r="AT23" i="9"/>
  <c r="AS23" i="9"/>
  <c r="AR23" i="9"/>
  <c r="AQ23" i="9"/>
  <c r="J23" i="9"/>
  <c r="BB22" i="9"/>
  <c r="BA22" i="9"/>
  <c r="AZ22" i="9"/>
  <c r="AY22" i="9" s="1"/>
  <c r="AX22" i="9"/>
  <c r="AW22" i="9"/>
  <c r="AS22" i="9"/>
  <c r="AR22" i="9"/>
  <c r="AU22" i="9" s="1"/>
  <c r="AQ22" i="9"/>
  <c r="AT22" i="9" s="1"/>
  <c r="J22" i="9"/>
  <c r="BB21" i="9"/>
  <c r="AZ21" i="9"/>
  <c r="AX21" i="9"/>
  <c r="AW21" i="9"/>
  <c r="AY21" i="9" s="1"/>
  <c r="AU21" i="9"/>
  <c r="AT21" i="9"/>
  <c r="AS21" i="9"/>
  <c r="AR21" i="9"/>
  <c r="AQ21" i="9"/>
  <c r="J21" i="9"/>
  <c r="BB20" i="9"/>
  <c r="BA20" i="9"/>
  <c r="AZ20" i="9"/>
  <c r="AY20" i="9" s="1"/>
  <c r="AX20" i="9"/>
  <c r="AW20" i="9"/>
  <c r="AS20" i="9"/>
  <c r="AR20" i="9"/>
  <c r="AU20" i="9" s="1"/>
  <c r="AQ20" i="9"/>
  <c r="AT20" i="9" s="1"/>
  <c r="J20" i="9"/>
  <c r="BB19" i="9"/>
  <c r="AZ19" i="9"/>
  <c r="AX19" i="9"/>
  <c r="AW19" i="9"/>
  <c r="AY19" i="9" s="1"/>
  <c r="AU19" i="9"/>
  <c r="AT19" i="9"/>
  <c r="AS19" i="9"/>
  <c r="AR19" i="9"/>
  <c r="AQ19" i="9"/>
  <c r="J19" i="9"/>
  <c r="BB18" i="9"/>
  <c r="BA18" i="9"/>
  <c r="AZ18" i="9"/>
  <c r="AY18" i="9" s="1"/>
  <c r="AX18" i="9"/>
  <c r="AW18" i="9"/>
  <c r="AU18" i="9"/>
  <c r="AT18" i="9"/>
  <c r="AS18" i="9"/>
  <c r="AR18" i="9"/>
  <c r="AQ18" i="9"/>
  <c r="J18" i="9"/>
  <c r="BB17" i="9"/>
  <c r="AZ17" i="9"/>
  <c r="AX17" i="9"/>
  <c r="AW17" i="9"/>
  <c r="AY17" i="9" s="1"/>
  <c r="AU17" i="9"/>
  <c r="AT17" i="9"/>
  <c r="AS17" i="9"/>
  <c r="AR17" i="9"/>
  <c r="AQ17" i="9"/>
  <c r="J17" i="9"/>
  <c r="BB16" i="9"/>
  <c r="BA16" i="9"/>
  <c r="AZ16" i="9"/>
  <c r="AY16" i="9" s="1"/>
  <c r="AX16" i="9"/>
  <c r="AW16" i="9"/>
  <c r="AU16" i="9"/>
  <c r="AT16" i="9"/>
  <c r="AS16" i="9"/>
  <c r="AR16" i="9"/>
  <c r="AQ16" i="9"/>
  <c r="J16" i="9"/>
  <c r="BB15" i="9"/>
  <c r="AZ15" i="9"/>
  <c r="AX15" i="9"/>
  <c r="AW15" i="9"/>
  <c r="AY15" i="9" s="1"/>
  <c r="AU15" i="9"/>
  <c r="AT15" i="9"/>
  <c r="AS15" i="9"/>
  <c r="AR15" i="9"/>
  <c r="AQ15" i="9"/>
  <c r="J15" i="9"/>
  <c r="BB14" i="9"/>
  <c r="BA14" i="9"/>
  <c r="AZ14" i="9"/>
  <c r="AY14" i="9" s="1"/>
  <c r="AX14" i="9"/>
  <c r="AW14" i="9"/>
  <c r="AU14" i="9"/>
  <c r="AT14" i="9"/>
  <c r="AS14" i="9"/>
  <c r="AR14" i="9"/>
  <c r="AQ14" i="9"/>
  <c r="J14" i="9"/>
  <c r="BB13" i="9"/>
  <c r="AZ13" i="9"/>
  <c r="AX13" i="9"/>
  <c r="AW13" i="9"/>
  <c r="AY13" i="9" s="1"/>
  <c r="AU13" i="9"/>
  <c r="AT13" i="9"/>
  <c r="AS13" i="9"/>
  <c r="AR13" i="9"/>
  <c r="AQ13" i="9"/>
  <c r="J13" i="9"/>
  <c r="BB12" i="9"/>
  <c r="BA12" i="9"/>
  <c r="AZ12" i="9"/>
  <c r="AY12" i="9" s="1"/>
  <c r="AX12" i="9"/>
  <c r="AW12" i="9"/>
  <c r="AU12" i="9"/>
  <c r="AT12" i="9"/>
  <c r="AS12" i="9"/>
  <c r="AR12" i="9"/>
  <c r="AQ12" i="9"/>
  <c r="J12" i="9"/>
  <c r="BB11" i="9"/>
  <c r="AZ11" i="9"/>
  <c r="AX11" i="9"/>
  <c r="AW11" i="9"/>
  <c r="AY11" i="9" s="1"/>
  <c r="AU11" i="9"/>
  <c r="AT11" i="9"/>
  <c r="AS11" i="9"/>
  <c r="AR11" i="9"/>
  <c r="AQ11" i="9"/>
  <c r="J11" i="9"/>
  <c r="BB10" i="9"/>
  <c r="BA10" i="9"/>
  <c r="AZ10" i="9"/>
  <c r="AY10" i="9" s="1"/>
  <c r="AX10" i="9"/>
  <c r="AW10" i="9"/>
  <c r="AU10" i="9"/>
  <c r="AT10" i="9"/>
  <c r="AS10" i="9"/>
  <c r="AR10" i="9"/>
  <c r="AQ10" i="9"/>
  <c r="J10" i="9"/>
  <c r="BB9" i="9"/>
  <c r="AZ9" i="9"/>
  <c r="AX9" i="9"/>
  <c r="AW9" i="9"/>
  <c r="AY9" i="9" s="1"/>
  <c r="AU9" i="9"/>
  <c r="AT9" i="9"/>
  <c r="AS9" i="9"/>
  <c r="AR9" i="9"/>
  <c r="AQ9" i="9"/>
  <c r="J9" i="9"/>
  <c r="BB8" i="9"/>
  <c r="BA8" i="9"/>
  <c r="AZ8" i="9"/>
  <c r="AY8" i="9" s="1"/>
  <c r="AX8" i="9"/>
  <c r="AW8" i="9"/>
  <c r="AU8" i="9"/>
  <c r="AT8" i="9"/>
  <c r="AS8" i="9"/>
  <c r="AR8" i="9"/>
  <c r="AQ8" i="9"/>
  <c r="J8" i="9"/>
  <c r="BB7" i="9"/>
  <c r="AZ7" i="9"/>
  <c r="AX7" i="9"/>
  <c r="AW7" i="9"/>
  <c r="AY7" i="9" s="1"/>
  <c r="AU7" i="9"/>
  <c r="AT7" i="9"/>
  <c r="AS7" i="9"/>
  <c r="AR7" i="9"/>
  <c r="AQ7" i="9"/>
  <c r="J7" i="9"/>
  <c r="BB6" i="9"/>
  <c r="BA6" i="9"/>
  <c r="AZ6" i="9"/>
  <c r="AZ3" i="9" s="1"/>
  <c r="AX6" i="9"/>
  <c r="AW6" i="9"/>
  <c r="AU6" i="9"/>
  <c r="AT6" i="9"/>
  <c r="AS6" i="9"/>
  <c r="AR6" i="9"/>
  <c r="AQ6" i="9"/>
  <c r="J6" i="9"/>
  <c r="BA4" i="9"/>
  <c r="BA31" i="9" s="1"/>
  <c r="AZ4" i="9"/>
  <c r="AZ55" i="9" s="1"/>
  <c r="AY55" i="9" s="1"/>
  <c r="AX3" i="9"/>
  <c r="AW3" i="9"/>
  <c r="BD37" i="9" l="1"/>
  <c r="BD53" i="9"/>
  <c r="BE55" i="9"/>
  <c r="AU44" i="9"/>
  <c r="BD47" i="9"/>
  <c r="AT40" i="9"/>
  <c r="BD45" i="9"/>
  <c r="BD36" i="9"/>
  <c r="BD39" i="9"/>
  <c r="AU50" i="9"/>
  <c r="BD55" i="9"/>
  <c r="AQ42" i="9"/>
  <c r="AY6" i="9"/>
  <c r="AT33" i="9"/>
  <c r="AZ34" i="9"/>
  <c r="AY34" i="9" s="1"/>
  <c r="AT35" i="9"/>
  <c r="AZ36" i="9"/>
  <c r="AY36" i="9" s="1"/>
  <c r="AT37" i="9"/>
  <c r="AZ38" i="9"/>
  <c r="AY38" i="9" s="1"/>
  <c r="AT39" i="9"/>
  <c r="AZ40" i="9"/>
  <c r="AY40" i="9" s="1"/>
  <c r="AT41" i="9"/>
  <c r="AZ42" i="9"/>
  <c r="AY42" i="9" s="1"/>
  <c r="AT43" i="9"/>
  <c r="AZ44" i="9"/>
  <c r="AY44" i="9" s="1"/>
  <c r="AT45" i="9"/>
  <c r="AZ46" i="9"/>
  <c r="AY46" i="9" s="1"/>
  <c r="AT47" i="9"/>
  <c r="AZ48" i="9"/>
  <c r="AY48" i="9" s="1"/>
  <c r="AT49" i="9"/>
  <c r="AZ50" i="9"/>
  <c r="AY50" i="9" s="1"/>
  <c r="AT51" i="9"/>
  <c r="AZ52" i="9"/>
  <c r="AY52" i="9" s="1"/>
  <c r="AT53" i="9"/>
  <c r="AZ54" i="9"/>
  <c r="AY54" i="9" s="1"/>
  <c r="AT55" i="9"/>
  <c r="AZ56" i="9"/>
  <c r="AY56" i="9" s="1"/>
  <c r="AQ50" i="9"/>
  <c r="AQ52" i="9"/>
  <c r="AR36" i="9"/>
  <c r="AR40" i="9"/>
  <c r="AR46" i="9"/>
  <c r="AS34" i="9"/>
  <c r="AU34" i="9" s="1"/>
  <c r="AS36" i="9"/>
  <c r="AT36" i="9" s="1"/>
  <c r="AS38" i="9"/>
  <c r="AU38" i="9" s="1"/>
  <c r="AS40" i="9"/>
  <c r="BD40" i="9" s="1"/>
  <c r="AS42" i="9"/>
  <c r="AU42" i="9" s="1"/>
  <c r="AS44" i="9"/>
  <c r="BE44" i="9" s="1"/>
  <c r="AS46" i="9"/>
  <c r="BD46" i="9" s="1"/>
  <c r="AS48" i="9"/>
  <c r="AU48" i="9" s="1"/>
  <c r="AS50" i="9"/>
  <c r="BE50" i="9" s="1"/>
  <c r="AS52" i="9"/>
  <c r="BE52" i="9" s="1"/>
  <c r="AS54" i="9"/>
  <c r="BD54" i="9" s="1"/>
  <c r="AS56" i="9"/>
  <c r="BD56" i="9" s="1"/>
  <c r="AQ44" i="9"/>
  <c r="AQ48" i="9"/>
  <c r="AZ33" i="9"/>
  <c r="AY33" i="9" s="1"/>
  <c r="AZ35" i="9"/>
  <c r="AY35" i="9" s="1"/>
  <c r="AZ37" i="9"/>
  <c r="AY37" i="9" s="1"/>
  <c r="AZ39" i="9"/>
  <c r="AY39" i="9" s="1"/>
  <c r="AZ41" i="9"/>
  <c r="AY41" i="9" s="1"/>
  <c r="AZ43" i="9"/>
  <c r="AY43" i="9" s="1"/>
  <c r="AZ45" i="9"/>
  <c r="AY45" i="9" s="1"/>
  <c r="AZ47" i="9"/>
  <c r="AY47" i="9" s="1"/>
  <c r="AZ49" i="9"/>
  <c r="AY49" i="9" s="1"/>
  <c r="AZ51" i="9"/>
  <c r="AY51" i="9" s="1"/>
  <c r="AZ53" i="9"/>
  <c r="AY53" i="9" s="1"/>
  <c r="AQ34" i="9"/>
  <c r="AR54" i="9"/>
  <c r="BA7" i="9"/>
  <c r="BA3" i="9" s="1"/>
  <c r="BA9" i="9"/>
  <c r="BA11" i="9"/>
  <c r="BA13" i="9"/>
  <c r="BA15" i="9"/>
  <c r="BA17" i="9"/>
  <c r="BA19" i="9"/>
  <c r="BA21" i="9"/>
  <c r="BA23" i="9"/>
  <c r="BA25" i="9"/>
  <c r="BA27" i="9"/>
  <c r="BA29" i="9"/>
  <c r="AR33" i="9"/>
  <c r="AR35" i="9"/>
  <c r="AR37" i="9"/>
  <c r="AR39" i="9"/>
  <c r="AR41" i="9"/>
  <c r="AR43" i="9"/>
  <c r="AR45" i="9"/>
  <c r="AR47" i="9"/>
  <c r="AR49" i="9"/>
  <c r="AR51" i="9"/>
  <c r="AR53" i="9"/>
  <c r="AQ38" i="9"/>
  <c r="G34" i="3"/>
  <c r="H34" i="3"/>
  <c r="F34" i="3"/>
  <c r="AU40" i="9" l="1"/>
  <c r="BE40" i="9"/>
  <c r="BE47" i="9"/>
  <c r="AU47" i="9"/>
  <c r="AU46" i="9"/>
  <c r="BE46" i="9"/>
  <c r="AU52" i="9"/>
  <c r="BE45" i="9"/>
  <c r="AU45" i="9"/>
  <c r="AU36" i="9"/>
  <c r="BE36" i="9"/>
  <c r="BE43" i="9"/>
  <c r="AU43" i="9"/>
  <c r="BE41" i="9"/>
  <c r="AU41" i="9"/>
  <c r="AT44" i="9"/>
  <c r="BD44" i="9"/>
  <c r="AT52" i="9"/>
  <c r="BD52" i="9"/>
  <c r="BE34" i="9"/>
  <c r="AT54" i="9"/>
  <c r="AT50" i="9"/>
  <c r="BD50" i="9"/>
  <c r="BE42" i="9"/>
  <c r="BE48" i="9"/>
  <c r="BE39" i="9"/>
  <c r="AU39" i="9"/>
  <c r="BE53" i="9"/>
  <c r="AU53" i="9"/>
  <c r="AT34" i="9"/>
  <c r="BD34" i="9"/>
  <c r="BE56" i="9"/>
  <c r="BE38" i="9"/>
  <c r="AT48" i="9"/>
  <c r="BD48" i="9"/>
  <c r="BE51" i="9"/>
  <c r="AU51" i="9"/>
  <c r="BE35" i="9"/>
  <c r="AU35" i="9"/>
  <c r="AT56" i="9"/>
  <c r="AT42" i="9"/>
  <c r="BD42" i="9"/>
  <c r="AU56" i="9"/>
  <c r="AT46" i="9"/>
  <c r="AT38" i="9"/>
  <c r="BD38" i="9"/>
  <c r="AU54" i="9"/>
  <c r="BE54" i="9"/>
  <c r="BE37" i="9"/>
  <c r="AU37" i="9"/>
  <c r="BE49" i="9"/>
  <c r="AU49" i="9"/>
  <c r="BE33" i="9"/>
  <c r="AU33" i="9"/>
  <c r="F22" i="3"/>
  <c r="G22" i="3"/>
  <c r="E22" i="3"/>
  <c r="S20" i="8"/>
  <c r="U19" i="8"/>
  <c r="T19" i="8"/>
  <c r="S19" i="8"/>
  <c r="S18" i="8"/>
  <c r="T17" i="8"/>
  <c r="S17" i="8"/>
  <c r="S16" i="8"/>
  <c r="U15" i="8"/>
  <c r="T15" i="8"/>
  <c r="S15" i="8"/>
  <c r="T6" i="8"/>
  <c r="S9" i="8"/>
  <c r="T9" i="8"/>
  <c r="U9" i="8"/>
  <c r="T5" i="8"/>
  <c r="S5" i="8"/>
  <c r="G5" i="8"/>
  <c r="Q26" i="8"/>
  <c r="T26" i="8" s="1"/>
  <c r="G28" i="3" s="1"/>
  <c r="P26" i="8"/>
  <c r="Q19" i="8"/>
  <c r="P16" i="8"/>
  <c r="P17" i="8" s="1"/>
  <c r="P18" i="8" s="1"/>
  <c r="P20" i="8" s="1"/>
  <c r="O16" i="8"/>
  <c r="N16" i="8"/>
  <c r="Q15" i="8"/>
  <c r="Q9" i="8"/>
  <c r="O6" i="8"/>
  <c r="O7" i="8" s="1"/>
  <c r="O8" i="8" s="1"/>
  <c r="O10" i="8" s="1"/>
  <c r="S10" i="8" s="1"/>
  <c r="E12" i="3" s="1"/>
  <c r="N6" i="8"/>
  <c r="P6" i="8"/>
  <c r="G26" i="8"/>
  <c r="F26" i="8"/>
  <c r="G19" i="8"/>
  <c r="F16" i="8"/>
  <c r="F17" i="8" s="1"/>
  <c r="F18" i="8" s="1"/>
  <c r="F20" i="8" s="1"/>
  <c r="E16" i="8"/>
  <c r="E17" i="8" s="1"/>
  <c r="D16" i="8"/>
  <c r="G15" i="8"/>
  <c r="G9" i="8"/>
  <c r="F6" i="8"/>
  <c r="F7" i="8" s="1"/>
  <c r="F8" i="8" s="1"/>
  <c r="F10" i="8" s="1"/>
  <c r="E6" i="8"/>
  <c r="E7" i="8" s="1"/>
  <c r="D6" i="8"/>
  <c r="M10" i="7" l="1"/>
  <c r="Q30" i="8"/>
  <c r="T30" i="8" s="1"/>
  <c r="R26" i="8"/>
  <c r="U26" i="8" s="1"/>
  <c r="H28" i="3" s="1"/>
  <c r="S26" i="8"/>
  <c r="F28" i="3" s="1"/>
  <c r="S8" i="8"/>
  <c r="S7" i="8"/>
  <c r="S6" i="8"/>
  <c r="T20" i="8"/>
  <c r="T18" i="8"/>
  <c r="T16" i="8"/>
  <c r="Q16" i="8"/>
  <c r="U16" i="8" s="1"/>
  <c r="O17" i="8"/>
  <c r="Q17" i="8" s="1"/>
  <c r="U17" i="8" s="1"/>
  <c r="H26" i="8"/>
  <c r="G30" i="8"/>
  <c r="Q6" i="8"/>
  <c r="U6" i="8" s="1"/>
  <c r="P7" i="8"/>
  <c r="E18" i="8"/>
  <c r="G17" i="8"/>
  <c r="E8" i="8"/>
  <c r="G7" i="8"/>
  <c r="G6" i="8"/>
  <c r="G16" i="8"/>
  <c r="Q5" i="8"/>
  <c r="U5" i="8" s="1"/>
  <c r="P8" i="8" l="1"/>
  <c r="T7" i="8"/>
  <c r="Q7" i="8"/>
  <c r="U7" i="8" s="1"/>
  <c r="Q8" i="8"/>
  <c r="O18" i="8"/>
  <c r="Q18" i="8" s="1"/>
  <c r="E10" i="8"/>
  <c r="G8" i="8"/>
  <c r="G10" i="8" s="1"/>
  <c r="E20" i="8"/>
  <c r="F30" i="8" s="1"/>
  <c r="H30" i="8" s="1"/>
  <c r="G18" i="8"/>
  <c r="G20" i="8" s="1"/>
  <c r="N10" i="7"/>
  <c r="O10" i="7" s="1"/>
  <c r="H10" i="7"/>
  <c r="H8" i="7" s="1"/>
  <c r="H40" i="3"/>
  <c r="P10" i="8" l="1"/>
  <c r="T10" i="8" s="1"/>
  <c r="F12" i="3" s="1"/>
  <c r="T8" i="8"/>
  <c r="Q10" i="8"/>
  <c r="U10" i="8" s="1"/>
  <c r="G12" i="3" s="1"/>
  <c r="U8" i="8"/>
  <c r="Q20" i="8"/>
  <c r="U20" i="8" s="1"/>
  <c r="U18" i="8"/>
  <c r="O20" i="8"/>
  <c r="P30" i="8" s="1"/>
  <c r="F6" i="3"/>
  <c r="I10" i="7" l="1"/>
  <c r="H39" i="3"/>
  <c r="R30" i="8"/>
  <c r="U30" i="8" s="1"/>
  <c r="S30" i="8"/>
  <c r="F19" i="3"/>
  <c r="E19" i="3"/>
  <c r="D19" i="3"/>
  <c r="G18" i="3"/>
  <c r="G6" i="3"/>
  <c r="E20" i="3" l="1"/>
  <c r="E21" i="3" s="1"/>
  <c r="E23" i="3" s="1"/>
  <c r="I8" i="7"/>
  <c r="J10" i="7"/>
  <c r="F20" i="3"/>
  <c r="F21" i="3" s="1"/>
  <c r="G19" i="3"/>
  <c r="J8" i="7" l="1"/>
  <c r="P10" i="7"/>
  <c r="G20" i="3"/>
  <c r="G21" i="3"/>
  <c r="G27" i="3" l="1"/>
  <c r="G29" i="3" s="1"/>
  <c r="G33" i="3" s="1"/>
  <c r="F27" i="3"/>
  <c r="G10" i="3"/>
  <c r="F29" i="3" l="1"/>
  <c r="F33" i="3" s="1"/>
  <c r="K9" i="7" s="1"/>
  <c r="H27" i="3"/>
  <c r="H29" i="3" s="1"/>
  <c r="H33" i="3" l="1"/>
  <c r="E7" i="3" l="1"/>
  <c r="D7" i="3" l="1"/>
  <c r="E8" i="3" s="1"/>
  <c r="E9" i="3" s="1"/>
  <c r="E11" i="3" s="1"/>
  <c r="E13" i="3" s="1"/>
  <c r="F7" i="3"/>
  <c r="G7" i="3" l="1"/>
  <c r="F8" i="3"/>
  <c r="G8" i="3" s="1"/>
  <c r="F9" i="3" l="1"/>
  <c r="F11" i="3" s="1"/>
  <c r="F13" i="3" s="1"/>
  <c r="G9" i="3" l="1"/>
  <c r="G11" i="3" s="1"/>
  <c r="G13" i="3" s="1"/>
  <c r="N9" i="7"/>
  <c r="O9" i="7" s="1"/>
  <c r="N8" i="7" l="1"/>
  <c r="O8" i="7" s="1"/>
  <c r="P8" i="7" s="1"/>
  <c r="N7" i="7"/>
  <c r="P9" i="7"/>
  <c r="O7" i="7" l="1"/>
  <c r="P7" i="7" s="1"/>
</calcChain>
</file>

<file path=xl/comments1.xml><?xml version="1.0" encoding="utf-8"?>
<comments xmlns="http://schemas.openxmlformats.org/spreadsheetml/2006/main">
  <authors>
    <author>Amber Buhl</author>
  </authors>
  <commentList>
    <comment ref="AW4" authorId="0" shapeId="0">
      <text>
        <r>
          <rPr>
            <b/>
            <sz val="9"/>
            <color indexed="81"/>
            <rFont val="Tahoma"/>
            <family val="2"/>
          </rPr>
          <t>Arvind Subramanya:</t>
        </r>
        <r>
          <rPr>
            <sz val="9"/>
            <color indexed="81"/>
            <rFont val="Tahoma"/>
            <family val="2"/>
          </rPr>
          <t xml:space="preserve">
base case cost from WO017 ($/1,000 sq. ft .)
Refer to Attachment #5 - SCE17HC013.0 - Cost Calculation</t>
        </r>
      </text>
    </comment>
    <comment ref="AZ4" authorId="0" shapeId="0">
      <text>
        <r>
          <rPr>
            <sz val="9"/>
            <color indexed="81"/>
            <rFont val="Tahoma"/>
            <family val="2"/>
          </rPr>
          <t>Cost taken from WO017. Refer to Attachment #5 - SCE17HC013.0 - Cost Calculation</t>
        </r>
      </text>
    </comment>
    <comment ref="AQ5" authorId="0" shapeId="0">
      <text>
        <r>
          <rPr>
            <b/>
            <sz val="9"/>
            <color indexed="81"/>
            <rFont val="Tahoma"/>
            <family val="2"/>
          </rPr>
          <t>Amber Buhl:</t>
        </r>
        <r>
          <rPr>
            <sz val="9"/>
            <color indexed="81"/>
            <rFont val="Tahoma"/>
            <family val="2"/>
          </rPr>
          <t xml:space="preserve">
if IOU=SCE then lookup in ESAF_&amp;_PDAF_Summary table else =100%.</t>
        </r>
      </text>
    </comment>
    <comment ref="AT5" authorId="0" shapeId="0">
      <text>
        <r>
          <rPr>
            <sz val="9"/>
            <color indexed="81"/>
            <rFont val="Tahoma"/>
            <family val="2"/>
          </rPr>
          <t xml:space="preserve">Columns AS to AT: if PG&amp;E: uses above code baseline (AStdWB…) &amp; multiplies by common unit to get per household; if SCE uses customer baseline (ACustWB…) &amp; doesn't multiply by common unit so per 1,000 sq. ft </t>
        </r>
      </text>
    </comment>
    <comment ref="AY5" authorId="0" shapeId="0">
      <text>
        <r>
          <rPr>
            <sz val="9"/>
            <color indexed="81"/>
            <rFont val="Tahoma"/>
            <family val="2"/>
          </rPr>
          <t>gross measure $</t>
        </r>
      </text>
    </comment>
    <comment ref="AZ5" authorId="0" shapeId="0">
      <text>
        <r>
          <rPr>
            <b/>
            <sz val="9"/>
            <color indexed="81"/>
            <rFont val="Tahoma"/>
            <family val="2"/>
          </rPr>
          <t>Amber Buhl:</t>
        </r>
        <r>
          <rPr>
            <sz val="9"/>
            <color indexed="81"/>
            <rFont val="Tahoma"/>
            <family val="2"/>
          </rPr>
          <t xml:space="preserve">
PG&amp;E RET = measure $ - base cost</t>
        </r>
      </text>
    </comment>
    <comment ref="BA5" authorId="0" shapeId="0">
      <text>
        <r>
          <rPr>
            <b/>
            <sz val="9"/>
            <color indexed="81"/>
            <rFont val="Tahoma"/>
            <family val="2"/>
          </rPr>
          <t>Amber Buhl:</t>
        </r>
        <r>
          <rPr>
            <sz val="9"/>
            <color indexed="81"/>
            <rFont val="Tahoma"/>
            <family val="2"/>
          </rPr>
          <t xml:space="preserve">
PG&amp;E RET = measure $ - base cost</t>
        </r>
      </text>
    </comment>
    <comment ref="BD5" authorId="0" shapeId="0">
      <text>
        <r>
          <rPr>
            <sz val="9"/>
            <color indexed="81"/>
            <rFont val="Tahoma"/>
            <family val="2"/>
          </rPr>
          <t xml:space="preserve">Columns AS to AT: if PG&amp;E: uses above code baseline (AStdWB…) &amp; multiplies by common unit to get per household; if SCE uses customer baseline (ACustWB…) &amp; doesn't multiply by common unit so per 1,000 sq. ft </t>
        </r>
      </text>
    </comment>
  </commentList>
</comments>
</file>

<file path=xl/sharedStrings.xml><?xml version="1.0" encoding="utf-8"?>
<sst xmlns="http://schemas.openxmlformats.org/spreadsheetml/2006/main" count="2356" uniqueCount="193">
  <si>
    <t>Baseline System</t>
  </si>
  <si>
    <t>Material Cost
($)</t>
  </si>
  <si>
    <t>Labor Cost
($)</t>
  </si>
  <si>
    <t>Capacity
(Tons)</t>
  </si>
  <si>
    <t>EA</t>
  </si>
  <si>
    <t>System</t>
  </si>
  <si>
    <t>Unit</t>
  </si>
  <si>
    <t>Total Cost
($)</t>
  </si>
  <si>
    <t>Total</t>
  </si>
  <si>
    <t>Average Cost per Ton</t>
  </si>
  <si>
    <t>BASELINE SYSTEM COST</t>
  </si>
  <si>
    <t>3. System size was calculated based on industry standard of 1-ton per 400 Sq.ft. For a 1000 sq.ft. space it would require 2.5 Tons.</t>
  </si>
  <si>
    <t>4. Cost per 1000Sq.ft. was calculated by multiplying system size from Step 3 with Average Costs per ton from Step 2.</t>
  </si>
  <si>
    <t>5. Step 4 was repeated to calculate material, labor and total cost for a baseline system.</t>
  </si>
  <si>
    <t>Baseline System Cost Calculation Methodology</t>
  </si>
  <si>
    <t>Measure System Cost Calculation Methodology</t>
  </si>
  <si>
    <t>Residential</t>
  </si>
  <si>
    <t>MEASURE SYSTEM COST</t>
  </si>
  <si>
    <t>COST CALCULATION METHODOLOGY</t>
  </si>
  <si>
    <t>Average Baseline System Cost per 1,000SF (@ 400 SF per Ton) ($/1,000SF)</t>
  </si>
  <si>
    <t>Solution Code</t>
  </si>
  <si>
    <t>IOU</t>
  </si>
  <si>
    <t>Building Category</t>
  </si>
  <si>
    <t>Program Type</t>
  </si>
  <si>
    <t>Measure System</t>
  </si>
  <si>
    <t>Incremental Measure Cost
($)</t>
  </si>
  <si>
    <t>AC-17382</t>
  </si>
  <si>
    <t>AC-78424</t>
  </si>
  <si>
    <t>Measure</t>
  </si>
  <si>
    <t>(Res)withDamperDirectEvapCooler</t>
  </si>
  <si>
    <t>(Res)DirectEvapCooler</t>
  </si>
  <si>
    <t>SCE</t>
  </si>
  <si>
    <t>REA</t>
  </si>
  <si>
    <t>PGE</t>
  </si>
  <si>
    <t>ROB/NEW</t>
  </si>
  <si>
    <t>Material Cost
($/1,000 SF)</t>
  </si>
  <si>
    <t>Labor Cost
($/1,000 SF)</t>
  </si>
  <si>
    <t>Direct Evaporative Cooler</t>
  </si>
  <si>
    <t>Water Cost
($)</t>
  </si>
  <si>
    <t>Calculation Template</t>
  </si>
  <si>
    <t>SCE17HC013.0 - Calculation Template RES</t>
  </si>
  <si>
    <t>Notes:</t>
  </si>
  <si>
    <t>[1] Total Proposed System Material cost = "Material Cost (Column K)" + "Water Cost (Column M)"</t>
  </si>
  <si>
    <t xml:space="preserve">[3] Material cost for AC-17382 = Material Cost for AC78424+$142; Labor cost for AC-17382 = Labor Cost of AC78424+$58; </t>
  </si>
  <si>
    <t>[2] Above material cost is used in the calculation template cost section. (Columns BG, BH, and BI)</t>
  </si>
  <si>
    <t>Refrigerant Piping Cost per standard 20 ft.</t>
  </si>
  <si>
    <t>Total Baseline System Cost per 1,000SF (@ 400 SF per Ton) ($/1,000SF)</t>
  </si>
  <si>
    <t>WATER PIPING COST</t>
  </si>
  <si>
    <t>Labor Cost ($/ft.)</t>
  </si>
  <si>
    <t xml:space="preserve">Material Cost 
($/ft.) </t>
  </si>
  <si>
    <t>Material Cost
($/20 ft.)</t>
  </si>
  <si>
    <t>Labor Cost
($/20 ft.)</t>
  </si>
  <si>
    <t>Water Piping Cost @ standard 20ft. Length</t>
  </si>
  <si>
    <t>System Cost
($)</t>
  </si>
  <si>
    <t>6. Refrigerant piping cost was calculated assuming a 20ft. run and was added to costs in Step 5 to calculate total measure costs.</t>
  </si>
  <si>
    <t>Baseline System Cost Sources: Work Order 017</t>
  </si>
  <si>
    <t>Direct Evaporative Cooler assumed 3,510 CFM, 0.87 media saturation
effectiveness (~3 ton equivalent)</t>
  </si>
  <si>
    <t>Measure System Cost Sources: Work Order 017</t>
  </si>
  <si>
    <t>1. Baseline system costs was taken from 2010-2012 Work Order 017 Study report for a 3-ton split system.</t>
  </si>
  <si>
    <t>2. Material, labor, and total cost per ton was calculated based on the costs from Step 1.</t>
  </si>
  <si>
    <t>1. Measure System costs were take from 2010-2012 Work Order 017 Study report for a 3-ton unit.</t>
  </si>
  <si>
    <t>5. Step 4 was repeated to calculate material, labor and total cost for a measure system.</t>
  </si>
  <si>
    <t>6. Water piping cost was calculated assuming a 20ft. run and was added to costs in Step 6 to calculate total measure costs.</t>
  </si>
  <si>
    <t>T24 minimum: 14 SEER (12.15 EER) Split‐System Air Conditioner assumed 36,000 BtuH</t>
  </si>
  <si>
    <t>Average Measure System Cost per 1,000SF (@ 400 SF per Ton) ($/1,000SF)</t>
  </si>
  <si>
    <t>Total Measure System Cost per 1,000SF (@ 400 SF per Ton) ($/1,000SF)</t>
  </si>
  <si>
    <t>PG&amp;E COSTS PER HOUSEHOLD</t>
  </si>
  <si>
    <t>TOTAL MEASURE COST PER 1000 SFT</t>
  </si>
  <si>
    <t>Material Cost
($/Household)</t>
  </si>
  <si>
    <t>Labor Cost
($/Household)</t>
  </si>
  <si>
    <t>Total Cost
($/Household)</t>
  </si>
  <si>
    <t>Escalation Factor Based on Percentage increase in material and labor cost between 2012 and 2018, based on RS Means referenced cost.</t>
  </si>
  <si>
    <t>23 82 19.10; line 3140 3 Ton Cooling, RSMeans 2012 Mechanical</t>
  </si>
  <si>
    <t>23 76 13.10; line 0180 3615 CFM 1/2 HP 230V</t>
  </si>
  <si>
    <t>Water Piping Cost @ standard 20ft. Length; 33 11 13.15; line 2020</t>
  </si>
  <si>
    <t>Labor Escalation (%)</t>
  </si>
  <si>
    <t>Material Escalation (%)</t>
  </si>
  <si>
    <t>Total Escalation(%</t>
  </si>
  <si>
    <t>Escalation Factor</t>
  </si>
  <si>
    <t>2018 Updated Cost</t>
  </si>
  <si>
    <t>23 82 19.10; line 3140 3 Ton Cooling, RSMeans 2018 Mechanical</t>
  </si>
  <si>
    <t>SCE17HC013.1 - Cost Calculation Summary</t>
  </si>
  <si>
    <t>exante2014 database tables: EnImpact</t>
  </si>
  <si>
    <t>This file created on 6/20/2014 7:26:35 AM while connected to deeresources.net as sptviewer.</t>
  </si>
  <si>
    <t>Program/Database Description: READI v.2.0.1 ("DEER for 2014 Code Update" database, released in November of 2013.)</t>
  </si>
  <si>
    <t>2nd Baseline Savings</t>
  </si>
  <si>
    <t>EnergyImpactID</t>
  </si>
  <si>
    <t>Version</t>
  </si>
  <si>
    <t>VersionSrc</t>
  </si>
  <si>
    <t>LastMod</t>
  </si>
  <si>
    <t>BldgType</t>
  </si>
  <si>
    <t>BldgVint</t>
  </si>
  <si>
    <t>BldgHVAC</t>
  </si>
  <si>
    <t>BldgLoc</t>
  </si>
  <si>
    <t>BldgCZ</t>
  </si>
  <si>
    <t>NormUnit</t>
  </si>
  <si>
    <t>NumUnits</t>
  </si>
  <si>
    <t>MeasArea</t>
  </si>
  <si>
    <t>ScalBasis</t>
  </si>
  <si>
    <t>ACustEUkWh</t>
  </si>
  <si>
    <t>ACustEUkW</t>
  </si>
  <si>
    <t>ACustEUtherm</t>
  </si>
  <si>
    <t>ACustWBkWh</t>
  </si>
  <si>
    <t>ACustWBkW</t>
  </si>
  <si>
    <t>ACustWBtherm</t>
  </si>
  <si>
    <t>AStdEUkWh</t>
  </si>
  <si>
    <t>AStdEUkW</t>
  </si>
  <si>
    <t>AStdEUtherm</t>
  </si>
  <si>
    <t>AStdWBkWh</t>
  </si>
  <si>
    <t>AStdWBkW</t>
  </si>
  <si>
    <t>AStdWBtherm</t>
  </si>
  <si>
    <t>ElecImpProfileID</t>
  </si>
  <si>
    <t>GasImpProfileID</t>
  </si>
  <si>
    <t>Flag</t>
  </si>
  <si>
    <t>BldgType_desc</t>
  </si>
  <si>
    <t>BldgVint_desc</t>
  </si>
  <si>
    <t>BldgLoc_desc</t>
  </si>
  <si>
    <t>IOUname</t>
  </si>
  <si>
    <t>MeasureID</t>
  </si>
  <si>
    <t>Qualifier</t>
  </si>
  <si>
    <t>MeasureDesc</t>
  </si>
  <si>
    <t>MeasImpactType</t>
  </si>
  <si>
    <t>MeasTechEUL_ID</t>
  </si>
  <si>
    <t>MeasTechDesc</t>
  </si>
  <si>
    <t>StdTechDesc</t>
  </si>
  <si>
    <t>BaseTechDesc</t>
  </si>
  <si>
    <t>QualifierDesc</t>
  </si>
  <si>
    <t>Electrical Energy Saving Factor</t>
  </si>
  <si>
    <t>Power Demand Reduction Factor</t>
  </si>
  <si>
    <t>HEAF</t>
  </si>
  <si>
    <t>Annual Electrical Energy Savings 
(kWh/unit)</t>
  </si>
  <si>
    <t>Peak Electrical Demand Reduction
(kW/unit)</t>
  </si>
  <si>
    <t>Annual Gas Savings
(Therms/unit)</t>
  </si>
  <si>
    <t>Base Cost - Material 
($/unit)</t>
  </si>
  <si>
    <t>Base Cost - Labor 
($/unit)</t>
  </si>
  <si>
    <t>Incremental Measure Cost 
($/unit)</t>
  </si>
  <si>
    <t>Gross Measure Cos - material
($/unit)</t>
  </si>
  <si>
    <t>Gross Measure Cos - labor
($/unit)</t>
  </si>
  <si>
    <t>Numeric CZ</t>
  </si>
  <si>
    <t>D03-405</t>
  </si>
  <si>
    <t>DEER2005</t>
  </si>
  <si>
    <t>D05 v2.01</t>
  </si>
  <si>
    <t>DMo</t>
  </si>
  <si>
    <t>Ex</t>
  </si>
  <si>
    <t>Any</t>
  </si>
  <si>
    <t>CZ01</t>
  </si>
  <si>
    <t>Area-1kH</t>
  </si>
  <si>
    <t>None</t>
  </si>
  <si>
    <t>Residential Mobile Home</t>
  </si>
  <si>
    <t>Existing</t>
  </si>
  <si>
    <t>Arcata Area</t>
  </si>
  <si>
    <t>PG&amp;E</t>
  </si>
  <si>
    <t>Standard</t>
  </si>
  <si>
    <t>T24 minimum: 13 SEER(11.09 EER) Split System Air Conditioner</t>
  </si>
  <si>
    <t>10.0 SEER Split-System Air Conditioner</t>
  </si>
  <si>
    <t>Measure Definition does not have Energy Impact Qualifiers</t>
  </si>
  <si>
    <t>CZ02</t>
  </si>
  <si>
    <t>Santa Rosa Area</t>
  </si>
  <si>
    <t>CZ03</t>
  </si>
  <si>
    <t>Oakland Area</t>
  </si>
  <si>
    <t>CZ04</t>
  </si>
  <si>
    <t>San Jose-Reid</t>
  </si>
  <si>
    <t>CZ05</t>
  </si>
  <si>
    <t>Santa Maria Area</t>
  </si>
  <si>
    <t>CZ11</t>
  </si>
  <si>
    <t>Red Bluff Area</t>
  </si>
  <si>
    <t>CZ12</t>
  </si>
  <si>
    <t>Sacramento Area</t>
  </si>
  <si>
    <t>CZ13</t>
  </si>
  <si>
    <t>Fresno Area</t>
  </si>
  <si>
    <t>CZ16</t>
  </si>
  <si>
    <t>Blue Canyon</t>
  </si>
  <si>
    <t>MFm</t>
  </si>
  <si>
    <t>Residential Multi-family</t>
  </si>
  <si>
    <t>SFm</t>
  </si>
  <si>
    <t>Residential Single Family</t>
  </si>
  <si>
    <t>CZ06</t>
  </si>
  <si>
    <t>Torrance</t>
  </si>
  <si>
    <t>CZ08</t>
  </si>
  <si>
    <t>Fullerton</t>
  </si>
  <si>
    <t>CZ09</t>
  </si>
  <si>
    <t>Burbank-Glendale</t>
  </si>
  <si>
    <t>CZ10</t>
  </si>
  <si>
    <t>Riverside</t>
  </si>
  <si>
    <t>CZ14</t>
  </si>
  <si>
    <t>Palmdale</t>
  </si>
  <si>
    <t>CZ15</t>
  </si>
  <si>
    <t>Palm Springs-Intl</t>
  </si>
  <si>
    <t>SCG</t>
  </si>
  <si>
    <t>CZ07</t>
  </si>
  <si>
    <t>San Diego-Lindbergh</t>
  </si>
  <si>
    <t>SDG</t>
  </si>
  <si>
    <t>SDG&amp;E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</si>
</sst>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#,##0.0"/>
    <numFmt numFmtId="166" formatCode="&quot;$&quot;#,##0.0"/>
    <numFmt numFmtId="168" formatCode="0.00000"/>
  </numFmts>
  <fonts count="21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name val="Arial"/>
      <family val="2"/>
    </font>
    <font>
      <b/>
      <u/>
      <sz val="1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0"/>
      </patternFill>
    </fill>
    <fill>
      <patternFill patternType="solid">
        <fgColor rgb="FF92D050"/>
        <bgColor indexed="0"/>
      </patternFill>
    </fill>
    <fill>
      <patternFill patternType="solid">
        <fgColor theme="4" tint="0.79998168889431442"/>
        <bgColor indexed="0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4" fillId="0" borderId="0" applyFont="0" applyFill="0" applyBorder="0" applyAlignment="0" applyProtection="0"/>
    <xf numFmtId="0" fontId="14" fillId="0" borderId="0"/>
    <xf numFmtId="44" fontId="16" fillId="0" borderId="0" applyFont="0" applyFill="0" applyBorder="0" applyAlignment="0" applyProtection="0"/>
    <xf numFmtId="0" fontId="16" fillId="0" borderId="0"/>
    <xf numFmtId="0" fontId="17" fillId="0" borderId="0"/>
    <xf numFmtId="9" fontId="16" fillId="0" borderId="0" applyFont="0" applyFill="0" applyBorder="0" applyAlignment="0" applyProtection="0"/>
  </cellStyleXfs>
  <cellXfs count="11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4" xfId="0" applyFill="1" applyBorder="1"/>
    <xf numFmtId="0" fontId="0" fillId="2" borderId="0" xfId="0" applyFill="1" applyBorder="1"/>
    <xf numFmtId="0" fontId="1" fillId="2" borderId="0" xfId="0" applyFont="1" applyFill="1"/>
    <xf numFmtId="0" fontId="3" fillId="2" borderId="0" xfId="0" applyFont="1" applyFill="1"/>
    <xf numFmtId="0" fontId="0" fillId="2" borderId="6" xfId="0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0" fontId="4" fillId="2" borderId="0" xfId="0" applyFont="1" applyFill="1"/>
    <xf numFmtId="0" fontId="6" fillId="2" borderId="0" xfId="0" applyFont="1" applyFill="1" applyAlignment="1">
      <alignment horizontal="left" vertical="center"/>
    </xf>
    <xf numFmtId="8" fontId="5" fillId="2" borderId="8" xfId="0" applyNumberFormat="1" applyFont="1" applyFill="1" applyBorder="1" applyAlignment="1">
      <alignment horizontal="center" vertical="center"/>
    </xf>
    <xf numFmtId="8" fontId="5" fillId="2" borderId="9" xfId="0" applyNumberFormat="1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/>
    </xf>
    <xf numFmtId="8" fontId="5" fillId="3" borderId="8" xfId="0" applyNumberFormat="1" applyFont="1" applyFill="1" applyBorder="1" applyAlignment="1">
      <alignment horizontal="center" vertical="center"/>
    </xf>
    <xf numFmtId="8" fontId="5" fillId="3" borderId="9" xfId="0" applyNumberFormat="1" applyFont="1" applyFill="1" applyBorder="1" applyAlignment="1">
      <alignment horizontal="center" vertical="center"/>
    </xf>
    <xf numFmtId="0" fontId="0" fillId="2" borderId="5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2" fillId="2" borderId="4" xfId="0" applyFont="1" applyFill="1" applyBorder="1" applyAlignment="1">
      <alignment horizontal="left" indent="4"/>
    </xf>
    <xf numFmtId="0" fontId="0" fillId="2" borderId="4" xfId="0" applyFill="1" applyBorder="1" applyAlignment="1">
      <alignment horizontal="left" indent="4"/>
    </xf>
    <xf numFmtId="0" fontId="9" fillId="2" borderId="0" xfId="0" applyFont="1" applyFill="1"/>
    <xf numFmtId="164" fontId="0" fillId="2" borderId="15" xfId="0" applyNumberFormat="1" applyFill="1" applyBorder="1" applyAlignment="1">
      <alignment horizontal="center" vertical="center"/>
    </xf>
    <xf numFmtId="164" fontId="0" fillId="2" borderId="16" xfId="0" applyNumberFormat="1" applyFill="1" applyBorder="1" applyAlignment="1">
      <alignment horizontal="center" vertical="center"/>
    </xf>
    <xf numFmtId="0" fontId="10" fillId="2" borderId="0" xfId="0" applyFont="1" applyFill="1"/>
    <xf numFmtId="165" fontId="0" fillId="2" borderId="15" xfId="0" applyNumberFormat="1" applyFill="1" applyBorder="1" applyAlignment="1">
      <alignment horizontal="center" vertical="center"/>
    </xf>
    <xf numFmtId="166" fontId="0" fillId="2" borderId="15" xfId="0" applyNumberFormat="1" applyFill="1" applyBorder="1" applyAlignment="1">
      <alignment horizontal="center" vertical="center"/>
    </xf>
    <xf numFmtId="164" fontId="0" fillId="2" borderId="0" xfId="0" applyNumberFormat="1" applyFill="1"/>
    <xf numFmtId="0" fontId="0" fillId="2" borderId="6" xfId="0" applyFill="1" applyBorder="1" applyAlignment="1">
      <alignment horizontal="center" vertical="center" wrapText="1"/>
    </xf>
    <xf numFmtId="1" fontId="0" fillId="2" borderId="6" xfId="0" applyNumberFormat="1" applyFill="1" applyBorder="1" applyAlignment="1">
      <alignment horizontal="center" vertical="center"/>
    </xf>
    <xf numFmtId="0" fontId="12" fillId="2" borderId="0" xfId="0" applyFont="1" applyFill="1"/>
    <xf numFmtId="0" fontId="12" fillId="2" borderId="0" xfId="0" applyFont="1" applyFill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164" fontId="12" fillId="2" borderId="6" xfId="0" applyNumberFormat="1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 wrapText="1"/>
    </xf>
    <xf numFmtId="164" fontId="0" fillId="2" borderId="28" xfId="0" applyNumberFormat="1" applyFill="1" applyBorder="1" applyAlignment="1">
      <alignment horizontal="center" vertical="center"/>
    </xf>
    <xf numFmtId="9" fontId="0" fillId="0" borderId="6" xfId="1" applyFont="1" applyBorder="1"/>
    <xf numFmtId="8" fontId="5" fillId="3" borderId="32" xfId="0" applyNumberFormat="1" applyFont="1" applyFill="1" applyBorder="1" applyAlignment="1">
      <alignment horizontal="center" vertical="center"/>
    </xf>
    <xf numFmtId="8" fontId="5" fillId="3" borderId="33" xfId="0" applyNumberFormat="1" applyFont="1" applyFill="1" applyBorder="1" applyAlignment="1">
      <alignment horizontal="center" vertical="center"/>
    </xf>
    <xf numFmtId="9" fontId="5" fillId="3" borderId="6" xfId="0" applyNumberFormat="1" applyFont="1" applyFill="1" applyBorder="1" applyAlignment="1">
      <alignment horizontal="center" vertical="center"/>
    </xf>
    <xf numFmtId="8" fontId="5" fillId="3" borderId="6" xfId="0" applyNumberFormat="1" applyFont="1" applyFill="1" applyBorder="1" applyAlignment="1">
      <alignment horizontal="center" vertical="center"/>
    </xf>
    <xf numFmtId="165" fontId="0" fillId="2" borderId="6" xfId="0" applyNumberFormat="1" applyFill="1" applyBorder="1" applyAlignment="1">
      <alignment horizontal="center" vertical="center"/>
    </xf>
    <xf numFmtId="166" fontId="0" fillId="2" borderId="6" xfId="0" applyNumberFormat="1" applyFill="1" applyBorder="1" applyAlignment="1">
      <alignment horizontal="center" vertical="center"/>
    </xf>
    <xf numFmtId="0" fontId="0" fillId="2" borderId="6" xfId="0" applyFill="1" applyBorder="1"/>
    <xf numFmtId="9" fontId="0" fillId="2" borderId="6" xfId="0" applyNumberFormat="1" applyFill="1" applyBorder="1"/>
    <xf numFmtId="0" fontId="13" fillId="3" borderId="18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0" fontId="11" fillId="3" borderId="25" xfId="0" applyFont="1" applyFill="1" applyBorder="1" applyAlignment="1">
      <alignment horizontal="center" vertical="center"/>
    </xf>
    <xf numFmtId="0" fontId="11" fillId="3" borderId="2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14" fillId="0" borderId="0" xfId="2"/>
    <xf numFmtId="0" fontId="15" fillId="0" borderId="0" xfId="2" applyFont="1"/>
    <xf numFmtId="168" fontId="14" fillId="0" borderId="0" xfId="2" applyNumberFormat="1"/>
    <xf numFmtId="44" fontId="14" fillId="0" borderId="0" xfId="2" applyNumberFormat="1"/>
    <xf numFmtId="44" fontId="14" fillId="4" borderId="0" xfId="3" applyFont="1" applyFill="1"/>
    <xf numFmtId="44" fontId="14" fillId="0" borderId="0" xfId="3" applyFont="1"/>
    <xf numFmtId="0" fontId="14" fillId="0" borderId="11" xfId="2" applyFont="1" applyBorder="1" applyAlignment="1">
      <alignment horizontal="center"/>
    </xf>
    <xf numFmtId="0" fontId="14" fillId="0" borderId="11" xfId="2" applyBorder="1" applyAlignment="1">
      <alignment horizontal="center"/>
    </xf>
    <xf numFmtId="0" fontId="14" fillId="0" borderId="0" xfId="2" applyAlignment="1">
      <alignment vertical="center" wrapText="1"/>
    </xf>
    <xf numFmtId="0" fontId="16" fillId="5" borderId="0" xfId="4" applyFill="1"/>
    <xf numFmtId="0" fontId="17" fillId="6" borderId="34" xfId="5" applyFont="1" applyFill="1" applyBorder="1" applyAlignment="1">
      <alignment horizontal="center" vertical="center" wrapText="1"/>
    </xf>
    <xf numFmtId="0" fontId="18" fillId="7" borderId="35" xfId="5" applyFont="1" applyFill="1" applyBorder="1" applyAlignment="1">
      <alignment horizontal="center" vertical="center" wrapText="1"/>
    </xf>
    <xf numFmtId="168" fontId="18" fillId="7" borderId="36" xfId="5" applyNumberFormat="1" applyFont="1" applyFill="1" applyBorder="1" applyAlignment="1">
      <alignment horizontal="center" vertical="center" wrapText="1"/>
    </xf>
    <xf numFmtId="0" fontId="18" fillId="7" borderId="37" xfId="5" applyFont="1" applyFill="1" applyBorder="1" applyAlignment="1">
      <alignment horizontal="center" vertical="center" wrapText="1"/>
    </xf>
    <xf numFmtId="0" fontId="18" fillId="8" borderId="35" xfId="5" applyFont="1" applyFill="1" applyBorder="1" applyAlignment="1">
      <alignment horizontal="center" vertical="center" wrapText="1"/>
    </xf>
    <xf numFmtId="0" fontId="18" fillId="8" borderId="37" xfId="5" applyFont="1" applyFill="1" applyBorder="1" applyAlignment="1">
      <alignment horizontal="center" vertical="center" wrapText="1"/>
    </xf>
    <xf numFmtId="0" fontId="18" fillId="8" borderId="38" xfId="5" applyFont="1" applyFill="1" applyBorder="1" applyAlignment="1">
      <alignment horizontal="center" vertical="center" wrapText="1"/>
    </xf>
    <xf numFmtId="0" fontId="14" fillId="0" borderId="0" xfId="2" applyFont="1" applyAlignment="1">
      <alignment vertical="center" wrapText="1"/>
    </xf>
    <xf numFmtId="14" fontId="14" fillId="0" borderId="0" xfId="2" applyNumberFormat="1"/>
    <xf numFmtId="0" fontId="14" fillId="0" borderId="0" xfId="2" applyFont="1"/>
    <xf numFmtId="9" fontId="14" fillId="0" borderId="0" xfId="6" applyFont="1"/>
    <xf numFmtId="9" fontId="14" fillId="0" borderId="0" xfId="6" applyNumberFormat="1" applyFont="1"/>
  </cellXfs>
  <cellStyles count="7">
    <cellStyle name="Currency 2" xfId="3"/>
    <cellStyle name="Normal" xfId="0" builtinId="0"/>
    <cellStyle name="Normal 10" xfId="2"/>
    <cellStyle name="Normal 2" xfId="4"/>
    <cellStyle name="Normal_DEER SFM Direct Evap Coolers" xfId="5"/>
    <cellStyle name="Percent" xfId="1" builtinId="5"/>
    <cellStyle name="Percent 2" xfId="6"/>
  </cellStyles>
  <dxfs count="1">
    <dxf>
      <numFmt numFmtId="167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22411</xdr:colOff>
      <xdr:row>16</xdr:row>
      <xdr:rowOff>89647</xdr:rowOff>
    </xdr:from>
    <xdr:to>
      <xdr:col>34</xdr:col>
      <xdr:colOff>99587</xdr:colOff>
      <xdr:row>17</xdr:row>
      <xdr:rowOff>289599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68735" y="3776382"/>
          <a:ext cx="14600000" cy="580952"/>
        </a:xfrm>
        <a:prstGeom prst="rect">
          <a:avLst/>
        </a:prstGeom>
      </xdr:spPr>
    </xdr:pic>
    <xdr:clientData/>
  </xdr:twoCellAnchor>
  <xdr:twoCellAnchor editAs="oneCell">
    <xdr:from>
      <xdr:col>10</xdr:col>
      <xdr:colOff>33618</xdr:colOff>
      <xdr:row>4</xdr:row>
      <xdr:rowOff>100853</xdr:rowOff>
    </xdr:from>
    <xdr:to>
      <xdr:col>31</xdr:col>
      <xdr:colOff>278528</xdr:colOff>
      <xdr:row>5</xdr:row>
      <xdr:rowOff>91282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79942" y="941294"/>
          <a:ext cx="12952381" cy="37142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ling/Desktop/SCE17HC013/SCE17HC013.0%20A2%20-%20Residential%20Savings%20Calculatio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mmercial/Current/11210%20-%20SCE%20Workpapers%20(CWA)/Work%20Paper%20Training%20Documents%2002.07.2014/DEER%202014%20Update%20Info/CompareWeatherData-v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gyImpacts_RES_EvapCool"/>
      <sheetName val="ESAF_&amp;_PDAF_Summary"/>
      <sheetName val="Water Costs"/>
    </sheetNames>
    <sheetDataSet>
      <sheetData sheetId="0"/>
      <sheetData sheetId="1">
        <row r="4">
          <cell r="B4">
            <v>1</v>
          </cell>
          <cell r="C4">
            <v>1</v>
          </cell>
          <cell r="D4">
            <v>1</v>
          </cell>
          <cell r="E4">
            <v>1</v>
          </cell>
        </row>
        <row r="5">
          <cell r="B5">
            <v>2</v>
          </cell>
          <cell r="C5">
            <v>1</v>
          </cell>
          <cell r="D5">
            <v>1</v>
          </cell>
          <cell r="E5">
            <v>1</v>
          </cell>
        </row>
        <row r="6">
          <cell r="B6">
            <v>3</v>
          </cell>
          <cell r="C6">
            <v>1</v>
          </cell>
          <cell r="D6">
            <v>1</v>
          </cell>
          <cell r="E6">
            <v>1</v>
          </cell>
        </row>
        <row r="7">
          <cell r="B7">
            <v>4</v>
          </cell>
          <cell r="C7">
            <v>1</v>
          </cell>
          <cell r="D7">
            <v>1</v>
          </cell>
          <cell r="E7">
            <v>1</v>
          </cell>
        </row>
        <row r="8">
          <cell r="B8">
            <v>5</v>
          </cell>
          <cell r="C8">
            <v>1</v>
          </cell>
          <cell r="D8">
            <v>1</v>
          </cell>
          <cell r="E8">
            <v>1</v>
          </cell>
        </row>
        <row r="9">
          <cell r="B9">
            <v>6</v>
          </cell>
          <cell r="C9">
            <v>0.56081081081081086</v>
          </cell>
          <cell r="D9">
            <v>0.33333333333333331</v>
          </cell>
          <cell r="E9">
            <v>0.75</v>
          </cell>
        </row>
        <row r="10">
          <cell r="B10">
            <v>8</v>
          </cell>
          <cell r="C10">
            <v>0.31993006993006995</v>
          </cell>
          <cell r="D10">
            <v>0.22222222222222221</v>
          </cell>
          <cell r="E10">
            <v>0.75</v>
          </cell>
        </row>
        <row r="11">
          <cell r="B11">
            <v>9</v>
          </cell>
          <cell r="C11">
            <v>0.26299376299376298</v>
          </cell>
          <cell r="D11">
            <v>0</v>
          </cell>
          <cell r="E11">
            <v>0.75</v>
          </cell>
        </row>
        <row r="12">
          <cell r="B12">
            <v>10</v>
          </cell>
          <cell r="C12">
            <v>0.47858752817430505</v>
          </cell>
          <cell r="D12">
            <v>0</v>
          </cell>
          <cell r="E12">
            <v>0.75</v>
          </cell>
        </row>
        <row r="13">
          <cell r="B13">
            <v>11</v>
          </cell>
          <cell r="C13">
            <v>1</v>
          </cell>
          <cell r="D13">
            <v>1</v>
          </cell>
          <cell r="E13">
            <v>1</v>
          </cell>
        </row>
        <row r="14">
          <cell r="B14">
            <v>12</v>
          </cell>
          <cell r="C14">
            <v>1</v>
          </cell>
          <cell r="D14">
            <v>1</v>
          </cell>
          <cell r="E14">
            <v>1</v>
          </cell>
        </row>
        <row r="15">
          <cell r="B15">
            <v>13</v>
          </cell>
          <cell r="C15">
            <v>0.61629213483146073</v>
          </cell>
          <cell r="D15">
            <v>0</v>
          </cell>
          <cell r="E15">
            <v>0.75</v>
          </cell>
        </row>
        <row r="16">
          <cell r="B16">
            <v>14</v>
          </cell>
          <cell r="C16">
            <v>0.86996735582154516</v>
          </cell>
          <cell r="D16">
            <v>0.88888888888888884</v>
          </cell>
          <cell r="E16">
            <v>0.75</v>
          </cell>
        </row>
        <row r="17">
          <cell r="B17">
            <v>15</v>
          </cell>
          <cell r="C17">
            <v>0.54673423423423428</v>
          </cell>
          <cell r="D17">
            <v>0.1111111111111111</v>
          </cell>
          <cell r="E17">
            <v>0.75</v>
          </cell>
        </row>
        <row r="18">
          <cell r="B18">
            <v>16</v>
          </cell>
          <cell r="C18">
            <v>0.95767195767195767</v>
          </cell>
          <cell r="D18">
            <v>0.88888888888888884</v>
          </cell>
          <cell r="E18">
            <v>0.75</v>
          </cell>
        </row>
      </sheetData>
      <sheetData sheetId="2">
        <row r="9">
          <cell r="I9">
            <v>167.86692179822055</v>
          </cell>
        </row>
        <row r="16">
          <cell r="I16">
            <v>64.699509449363489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2010"/>
      <sheetName val="oldCTZ2"/>
      <sheetName val="Intro"/>
      <sheetName val="compare"/>
      <sheetName val="2010"/>
      <sheetName val="CTZ2"/>
      <sheetName val="Report Tables"/>
      <sheetName val="fields"/>
    </sheetNames>
    <sheetDataSet>
      <sheetData sheetId="0"/>
      <sheetData sheetId="1"/>
      <sheetData sheetId="2"/>
      <sheetData sheetId="3">
        <row r="2">
          <cell r="U2">
            <v>65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15"/>
  <sheetViews>
    <sheetView tabSelected="1" topLeftCell="F1" zoomScaleNormal="100" workbookViewId="0">
      <selection activeCell="M9" sqref="M9"/>
    </sheetView>
  </sheetViews>
  <sheetFormatPr defaultColWidth="9.1796875" defaultRowHeight="14.5" x14ac:dyDescent="0.35"/>
  <cols>
    <col min="1" max="1" width="9.1796875" style="1"/>
    <col min="2" max="2" width="8.54296875" style="1" customWidth="1"/>
    <col min="3" max="3" width="15.90625" style="1" customWidth="1"/>
    <col min="4" max="4" width="34.453125" style="1" hidden="1" customWidth="1"/>
    <col min="5" max="5" width="8.984375E-2" style="1" hidden="1" customWidth="1"/>
    <col min="6" max="6" width="7.7265625" style="1" customWidth="1"/>
    <col min="7" max="7" width="13.26953125" style="1" bestFit="1" customWidth="1"/>
    <col min="8" max="8" width="11.453125" style="1" bestFit="1" customWidth="1"/>
    <col min="9" max="9" width="9.26953125" style="1" bestFit="1" customWidth="1"/>
    <col min="10" max="10" width="8.81640625" style="1" bestFit="1" customWidth="1"/>
    <col min="11" max="11" width="10.54296875" style="1" customWidth="1"/>
    <col min="12" max="12" width="9.81640625" style="1" customWidth="1"/>
    <col min="13" max="13" width="11.453125" style="1" bestFit="1" customWidth="1"/>
    <col min="14" max="14" width="9.26953125" style="1" bestFit="1" customWidth="1"/>
    <col min="15" max="15" width="8.81640625" style="1" bestFit="1" customWidth="1"/>
    <col min="16" max="16" width="18" style="1" bestFit="1" customWidth="1"/>
    <col min="17" max="16384" width="9.1796875" style="1"/>
  </cols>
  <sheetData>
    <row r="3" spans="2:16" ht="23.5" x14ac:dyDescent="0.55000000000000004">
      <c r="B3" s="25" t="s">
        <v>81</v>
      </c>
    </row>
    <row r="5" spans="2:16" s="2" customFormat="1" x14ac:dyDescent="0.3">
      <c r="B5" s="31"/>
      <c r="C5" s="31"/>
      <c r="D5" s="31"/>
      <c r="E5" s="31"/>
      <c r="F5" s="31"/>
      <c r="G5" s="31"/>
      <c r="H5" s="62" t="s">
        <v>0</v>
      </c>
      <c r="I5" s="62"/>
      <c r="J5" s="62"/>
      <c r="K5" s="56" t="s">
        <v>24</v>
      </c>
      <c r="L5" s="57"/>
      <c r="M5" s="57"/>
      <c r="N5" s="57"/>
      <c r="O5" s="58"/>
      <c r="P5" s="32"/>
    </row>
    <row r="6" spans="2:16" s="2" customFormat="1" ht="39" x14ac:dyDescent="0.35">
      <c r="B6" s="35" t="s">
        <v>20</v>
      </c>
      <c r="C6" s="36" t="s">
        <v>28</v>
      </c>
      <c r="D6" s="35" t="s">
        <v>39</v>
      </c>
      <c r="E6" s="36" t="s">
        <v>22</v>
      </c>
      <c r="F6" s="36" t="s">
        <v>21</v>
      </c>
      <c r="G6" s="36" t="s">
        <v>23</v>
      </c>
      <c r="H6" s="35" t="s">
        <v>1</v>
      </c>
      <c r="I6" s="35" t="s">
        <v>2</v>
      </c>
      <c r="J6" s="35" t="s">
        <v>7</v>
      </c>
      <c r="K6" s="35" t="s">
        <v>53</v>
      </c>
      <c r="L6" s="35" t="s">
        <v>38</v>
      </c>
      <c r="M6" s="35" t="s">
        <v>1</v>
      </c>
      <c r="N6" s="35" t="s">
        <v>2</v>
      </c>
      <c r="O6" s="35" t="s">
        <v>7</v>
      </c>
      <c r="P6" s="35" t="s">
        <v>25</v>
      </c>
    </row>
    <row r="7" spans="2:16" s="2" customFormat="1" x14ac:dyDescent="0.35">
      <c r="B7" s="59" t="s">
        <v>26</v>
      </c>
      <c r="C7" s="63" t="s">
        <v>29</v>
      </c>
      <c r="D7" s="60" t="s">
        <v>40</v>
      </c>
      <c r="E7" s="59" t="s">
        <v>16</v>
      </c>
      <c r="F7" s="33" t="s">
        <v>31</v>
      </c>
      <c r="G7" s="33" t="s">
        <v>32</v>
      </c>
      <c r="H7" s="34">
        <v>0</v>
      </c>
      <c r="I7" s="34">
        <v>0</v>
      </c>
      <c r="J7" s="34">
        <v>0</v>
      </c>
      <c r="K7" s="34">
        <f>K9+142</f>
        <v>2179.7396825396827</v>
      </c>
      <c r="L7" s="34">
        <v>194.46</v>
      </c>
      <c r="M7" s="34">
        <f>K7+L7</f>
        <v>2374.1996825396827</v>
      </c>
      <c r="N7" s="34">
        <f>N9+58</f>
        <v>438.7505478662053</v>
      </c>
      <c r="O7" s="34">
        <f>M7+N7</f>
        <v>2812.9502304058879</v>
      </c>
      <c r="P7" s="34">
        <f>O7-J7</f>
        <v>2812.9502304058879</v>
      </c>
    </row>
    <row r="8" spans="2:16" s="2" customFormat="1" x14ac:dyDescent="0.35">
      <c r="B8" s="59"/>
      <c r="C8" s="63"/>
      <c r="D8" s="61"/>
      <c r="E8" s="59"/>
      <c r="F8" s="33" t="s">
        <v>33</v>
      </c>
      <c r="G8" s="33" t="s">
        <v>34</v>
      </c>
      <c r="H8" s="34">
        <f>H10</f>
        <v>2129.4896825925925</v>
      </c>
      <c r="I8" s="34">
        <f>I10</f>
        <v>751.96818111111088</v>
      </c>
      <c r="J8" s="34">
        <f>J10</f>
        <v>2881.4578637037034</v>
      </c>
      <c r="K8" s="34">
        <f>K10+142</f>
        <v>2891.1670295604745</v>
      </c>
      <c r="L8" s="34">
        <v>74.95</v>
      </c>
      <c r="M8" s="34">
        <f>K8+L8</f>
        <v>2966.1170295604743</v>
      </c>
      <c r="N8" s="34">
        <f>N10+58</f>
        <v>559.58876851851858</v>
      </c>
      <c r="O8" s="34">
        <f t="shared" ref="O8:O9" si="0">M8+N8</f>
        <v>3525.7057980789928</v>
      </c>
      <c r="P8" s="34">
        <f>O8-J8</f>
        <v>644.24793437528933</v>
      </c>
    </row>
    <row r="9" spans="2:16" s="2" customFormat="1" x14ac:dyDescent="0.35">
      <c r="B9" s="59" t="s">
        <v>27</v>
      </c>
      <c r="C9" s="63" t="s">
        <v>30</v>
      </c>
      <c r="D9" s="60" t="s">
        <v>40</v>
      </c>
      <c r="E9" s="59" t="s">
        <v>16</v>
      </c>
      <c r="F9" s="33" t="s">
        <v>31</v>
      </c>
      <c r="G9" s="33" t="s">
        <v>32</v>
      </c>
      <c r="H9" s="34">
        <v>0</v>
      </c>
      <c r="I9" s="34">
        <v>0</v>
      </c>
      <c r="J9" s="34">
        <v>0</v>
      </c>
      <c r="K9" s="34">
        <f>'Residential Cost'!F33</f>
        <v>2037.7396825396827</v>
      </c>
      <c r="L9" s="34">
        <v>194.46</v>
      </c>
      <c r="M9" s="34">
        <f>K9+L9</f>
        <v>2232.1996825396827</v>
      </c>
      <c r="N9" s="34">
        <f>'Residential Cost'!G33</f>
        <v>380.7505478662053</v>
      </c>
      <c r="O9" s="34">
        <f t="shared" si="0"/>
        <v>2612.9502304058879</v>
      </c>
      <c r="P9" s="34">
        <f>O9-J9</f>
        <v>2612.9502304058879</v>
      </c>
    </row>
    <row r="10" spans="2:16" s="2" customFormat="1" x14ac:dyDescent="0.35">
      <c r="B10" s="59"/>
      <c r="C10" s="63"/>
      <c r="D10" s="61"/>
      <c r="E10" s="59"/>
      <c r="F10" s="33" t="s">
        <v>33</v>
      </c>
      <c r="G10" s="33" t="s">
        <v>34</v>
      </c>
      <c r="H10" s="34">
        <f>'Residential Cost'!F39</f>
        <v>2129.4896825925925</v>
      </c>
      <c r="I10" s="34">
        <f>'Residential Cost'!G39</f>
        <v>751.96818111111088</v>
      </c>
      <c r="J10" s="34">
        <f>H10+I10</f>
        <v>2881.4578637037034</v>
      </c>
      <c r="K10" s="34">
        <f>'Residential Cost'!F40</f>
        <v>2749.1670295604745</v>
      </c>
      <c r="L10" s="34">
        <v>74.95</v>
      </c>
      <c r="M10" s="34">
        <f>K10+L10</f>
        <v>2824.1170295604743</v>
      </c>
      <c r="N10" s="34">
        <f>'Residential Cost'!G40</f>
        <v>501.58876851851858</v>
      </c>
      <c r="O10" s="34">
        <f>M10+N10</f>
        <v>3325.7057980789928</v>
      </c>
      <c r="P10" s="34">
        <f>O10-J10</f>
        <v>444.24793437528933</v>
      </c>
    </row>
    <row r="11" spans="2:16" s="2" customFormat="1" x14ac:dyDescent="0.35"/>
    <row r="12" spans="2:16" x14ac:dyDescent="0.35">
      <c r="B12" s="5" t="s">
        <v>41</v>
      </c>
    </row>
    <row r="13" spans="2:16" x14ac:dyDescent="0.35">
      <c r="B13" s="1" t="s">
        <v>42</v>
      </c>
      <c r="K13" s="28"/>
      <c r="N13" s="28"/>
    </row>
    <row r="14" spans="2:16" x14ac:dyDescent="0.35">
      <c r="B14" s="1" t="s">
        <v>44</v>
      </c>
      <c r="K14" s="28"/>
      <c r="N14" s="28"/>
    </row>
    <row r="15" spans="2:16" x14ac:dyDescent="0.35">
      <c r="B15" s="1" t="s">
        <v>43</v>
      </c>
    </row>
  </sheetData>
  <mergeCells count="10">
    <mergeCell ref="K5:O5"/>
    <mergeCell ref="B9:B10"/>
    <mergeCell ref="B7:B8"/>
    <mergeCell ref="D7:D8"/>
    <mergeCell ref="D9:D10"/>
    <mergeCell ref="H5:J5"/>
    <mergeCell ref="E7:E8"/>
    <mergeCell ref="E9:E10"/>
    <mergeCell ref="C7:C8"/>
    <mergeCell ref="C9:C10"/>
  </mergeCells>
  <conditionalFormatting sqref="H7:P10">
    <cfRule type="cellIs" dxfId="0" priority="2" operator="equal">
      <formula>0</formula>
    </cfRule>
  </conditionalFormatting>
  <pageMargins left="0.7" right="0.7" top="0.75" bottom="0.75" header="0.3" footer="0.3"/>
  <ignoredErrors>
    <ignoredError sqref="N7:N8 N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3:L62"/>
  <sheetViews>
    <sheetView topLeftCell="A10" zoomScale="85" zoomScaleNormal="85" workbookViewId="0">
      <selection activeCell="B53" sqref="B53"/>
    </sheetView>
  </sheetViews>
  <sheetFormatPr defaultColWidth="9.1796875" defaultRowHeight="14.5" x14ac:dyDescent="0.35"/>
  <cols>
    <col min="1" max="1" width="9.1796875" style="1"/>
    <col min="2" max="2" width="84.54296875" style="1" customWidth="1"/>
    <col min="3" max="3" width="10.26953125" style="1" customWidth="1"/>
    <col min="4" max="4" width="9.1796875" style="1"/>
    <col min="5" max="7" width="13.1796875" style="1" customWidth="1"/>
    <col min="8" max="8" width="12.26953125" style="1" customWidth="1"/>
    <col min="9" max="16384" width="9.1796875" style="1"/>
  </cols>
  <sheetData>
    <row r="3" spans="2:11" x14ac:dyDescent="0.35">
      <c r="B3" s="9"/>
    </row>
    <row r="4" spans="2:11" ht="21" customHeight="1" x14ac:dyDescent="0.35">
      <c r="B4" s="64" t="s">
        <v>10</v>
      </c>
      <c r="C4" s="64"/>
      <c r="D4" s="64"/>
      <c r="E4" s="64"/>
      <c r="F4" s="64"/>
      <c r="G4" s="64"/>
      <c r="K4" s="22" t="s">
        <v>55</v>
      </c>
    </row>
    <row r="5" spans="2:11" ht="29" x14ac:dyDescent="0.35">
      <c r="B5" s="37" t="s">
        <v>5</v>
      </c>
      <c r="C5" s="37" t="s">
        <v>6</v>
      </c>
      <c r="D5" s="38" t="s">
        <v>3</v>
      </c>
      <c r="E5" s="38" t="s">
        <v>1</v>
      </c>
      <c r="F5" s="38" t="s">
        <v>2</v>
      </c>
      <c r="G5" s="38" t="s">
        <v>7</v>
      </c>
    </row>
    <row r="6" spans="2:11" ht="29.25" customHeight="1" thickBot="1" x14ac:dyDescent="0.4">
      <c r="B6" s="29" t="s">
        <v>63</v>
      </c>
      <c r="C6" s="7" t="s">
        <v>4</v>
      </c>
      <c r="D6" s="30">
        <v>3</v>
      </c>
      <c r="E6" s="8">
        <v>1544.93</v>
      </c>
      <c r="F6" s="8">
        <f>2207.7-E6</f>
        <v>662.76999999999975</v>
      </c>
      <c r="G6" s="8">
        <f>E6+F6</f>
        <v>2207.6999999999998</v>
      </c>
    </row>
    <row r="7" spans="2:11" s="2" customFormat="1" ht="20.25" customHeight="1" thickBot="1" x14ac:dyDescent="0.4">
      <c r="B7" s="66" t="s">
        <v>8</v>
      </c>
      <c r="C7" s="68"/>
      <c r="D7" s="13">
        <f>SUM(D6:D6)</f>
        <v>3</v>
      </c>
      <c r="E7" s="11">
        <f>SUM(E6:E6)</f>
        <v>1544.93</v>
      </c>
      <c r="F7" s="11">
        <f>SUM(F6:F6)</f>
        <v>662.76999999999975</v>
      </c>
      <c r="G7" s="12">
        <f>E7+F7</f>
        <v>2207.6999999999998</v>
      </c>
    </row>
    <row r="8" spans="2:11" s="2" customFormat="1" ht="20.25" customHeight="1" thickBot="1" x14ac:dyDescent="0.4">
      <c r="B8" s="66" t="s">
        <v>9</v>
      </c>
      <c r="C8" s="67"/>
      <c r="D8" s="68"/>
      <c r="E8" s="11">
        <f>E7/D7</f>
        <v>514.97666666666669</v>
      </c>
      <c r="F8" s="11">
        <f>F7/D7</f>
        <v>220.92333333333326</v>
      </c>
      <c r="G8" s="12">
        <f>E8+F8</f>
        <v>735.9</v>
      </c>
      <c r="H8" s="10"/>
    </row>
    <row r="9" spans="2:11" ht="25.5" customHeight="1" thickBot="1" x14ac:dyDescent="0.4">
      <c r="B9" s="75" t="s">
        <v>19</v>
      </c>
      <c r="C9" s="76"/>
      <c r="D9" s="77"/>
      <c r="E9" s="14">
        <f>E8*1000/400</f>
        <v>1287.4416666666666</v>
      </c>
      <c r="F9" s="14">
        <f>F8*1000/400</f>
        <v>552.30833333333317</v>
      </c>
      <c r="G9" s="15">
        <f>E9+F9</f>
        <v>1839.7499999999998</v>
      </c>
    </row>
    <row r="10" spans="2:11" s="2" customFormat="1" ht="20.25" customHeight="1" thickBot="1" x14ac:dyDescent="0.4">
      <c r="B10" s="66" t="s">
        <v>45</v>
      </c>
      <c r="C10" s="67"/>
      <c r="D10" s="68"/>
      <c r="E10" s="11">
        <v>169</v>
      </c>
      <c r="F10" s="11">
        <v>18.5</v>
      </c>
      <c r="G10" s="12">
        <f>E10+F10</f>
        <v>187.5</v>
      </c>
      <c r="H10" s="10"/>
    </row>
    <row r="11" spans="2:11" ht="25.5" customHeight="1" x14ac:dyDescent="0.35">
      <c r="B11" s="69" t="s">
        <v>46</v>
      </c>
      <c r="C11" s="70"/>
      <c r="D11" s="71"/>
      <c r="E11" s="48">
        <f>E9+E10</f>
        <v>1456.4416666666666</v>
      </c>
      <c r="F11" s="48">
        <f>F9+F10</f>
        <v>570.80833333333317</v>
      </c>
      <c r="G11" s="49">
        <f>G9+G10</f>
        <v>2027.2499999999998</v>
      </c>
    </row>
    <row r="12" spans="2:11" ht="25.5" customHeight="1" x14ac:dyDescent="0.35">
      <c r="B12" s="72" t="s">
        <v>78</v>
      </c>
      <c r="C12" s="73"/>
      <c r="D12" s="74"/>
      <c r="E12" s="50">
        <f>'Escalation Factor'!S10</f>
        <v>1.1098769378296309</v>
      </c>
      <c r="F12" s="50">
        <f>'Escalation Factor'!T10</f>
        <v>1.1164874551971327</v>
      </c>
      <c r="G12" s="50">
        <f>'Escalation Factor'!U10</f>
        <v>1.1104181951577403</v>
      </c>
    </row>
    <row r="13" spans="2:11" ht="25.5" customHeight="1" x14ac:dyDescent="0.35">
      <c r="B13" s="72" t="s">
        <v>79</v>
      </c>
      <c r="C13" s="73"/>
      <c r="D13" s="74"/>
      <c r="E13" s="51">
        <f>E12*E11</f>
        <v>1616.4710171274839</v>
      </c>
      <c r="F13" s="51">
        <f t="shared" ref="F13:G13" si="0">F12*F11</f>
        <v>637.30034348864979</v>
      </c>
      <c r="G13" s="51">
        <f t="shared" si="0"/>
        <v>2251.0952861335286</v>
      </c>
    </row>
    <row r="14" spans="2:11" x14ac:dyDescent="0.35">
      <c r="B14" s="6"/>
    </row>
    <row r="15" spans="2:11" x14ac:dyDescent="0.35">
      <c r="B15" s="6"/>
    </row>
    <row r="16" spans="2:11" ht="21" customHeight="1" x14ac:dyDescent="0.35">
      <c r="B16" s="64" t="s">
        <v>17</v>
      </c>
      <c r="C16" s="64"/>
      <c r="D16" s="64"/>
      <c r="E16" s="64"/>
      <c r="F16" s="64"/>
      <c r="G16" s="64"/>
      <c r="K16" s="22" t="s">
        <v>57</v>
      </c>
    </row>
    <row r="17" spans="2:8" ht="29" x14ac:dyDescent="0.35">
      <c r="B17" s="37" t="s">
        <v>5</v>
      </c>
      <c r="C17" s="37" t="s">
        <v>6</v>
      </c>
      <c r="D17" s="38" t="s">
        <v>3</v>
      </c>
      <c r="E17" s="38" t="s">
        <v>1</v>
      </c>
      <c r="F17" s="38" t="s">
        <v>2</v>
      </c>
      <c r="G17" s="38" t="s">
        <v>7</v>
      </c>
    </row>
    <row r="18" spans="2:8" ht="29.5" thickBot="1" x14ac:dyDescent="0.4">
      <c r="B18" s="29" t="s">
        <v>56</v>
      </c>
      <c r="C18" s="7" t="s">
        <v>4</v>
      </c>
      <c r="D18" s="30">
        <v>3</v>
      </c>
      <c r="E18" s="8">
        <v>1440.24</v>
      </c>
      <c r="F18" s="8">
        <v>285.45999999999998</v>
      </c>
      <c r="G18" s="8">
        <f>E18+F18</f>
        <v>1725.7</v>
      </c>
    </row>
    <row r="19" spans="2:8" s="2" customFormat="1" ht="20.25" customHeight="1" thickBot="1" x14ac:dyDescent="0.4">
      <c r="B19" s="66" t="s">
        <v>8</v>
      </c>
      <c r="C19" s="68"/>
      <c r="D19" s="13">
        <f>SUM(D18:D18)</f>
        <v>3</v>
      </c>
      <c r="E19" s="11">
        <f>SUM(E18:E18)</f>
        <v>1440.24</v>
      </c>
      <c r="F19" s="11">
        <f>SUM(F18:F18)</f>
        <v>285.45999999999998</v>
      </c>
      <c r="G19" s="12">
        <f>E19+F19</f>
        <v>1725.7</v>
      </c>
    </row>
    <row r="20" spans="2:8" s="2" customFormat="1" ht="20.25" customHeight="1" thickBot="1" x14ac:dyDescent="0.4">
      <c r="B20" s="66" t="s">
        <v>9</v>
      </c>
      <c r="C20" s="67"/>
      <c r="D20" s="68"/>
      <c r="E20" s="11">
        <f>E19/D19</f>
        <v>480.08</v>
      </c>
      <c r="F20" s="11">
        <f>F19/D19</f>
        <v>95.153333333333322</v>
      </c>
      <c r="G20" s="12">
        <f>E20+F20</f>
        <v>575.23333333333335</v>
      </c>
      <c r="H20" s="10"/>
    </row>
    <row r="21" spans="2:8" ht="25.5" customHeight="1" thickBot="1" x14ac:dyDescent="0.4">
      <c r="B21" s="75" t="s">
        <v>64</v>
      </c>
      <c r="C21" s="76"/>
      <c r="D21" s="77"/>
      <c r="E21" s="14">
        <f>E20*1000/400</f>
        <v>1200.2</v>
      </c>
      <c r="F21" s="14">
        <f>F20*1000/400</f>
        <v>237.88333333333333</v>
      </c>
      <c r="G21" s="15">
        <f>E21+F21</f>
        <v>1438.0833333333335</v>
      </c>
    </row>
    <row r="22" spans="2:8" x14ac:dyDescent="0.35">
      <c r="B22" s="72" t="s">
        <v>78</v>
      </c>
      <c r="C22" s="73"/>
      <c r="D22" s="74"/>
      <c r="E22" s="50">
        <f>'Escalation Factor'!S20</f>
        <v>1</v>
      </c>
      <c r="F22" s="50">
        <f>'Escalation Factor'!T20</f>
        <v>1.1297577854671279</v>
      </c>
      <c r="G22" s="50">
        <f>'Escalation Factor'!U20</f>
        <v>1.0268096514745308</v>
      </c>
    </row>
    <row r="23" spans="2:8" x14ac:dyDescent="0.35">
      <c r="B23" s="72" t="s">
        <v>79</v>
      </c>
      <c r="C23" s="73"/>
      <c r="D23" s="74"/>
      <c r="E23" s="51">
        <f>E22*E21</f>
        <v>1200.2</v>
      </c>
      <c r="F23" s="51">
        <f t="shared" ref="F23:G23" si="1">F22*F21</f>
        <v>268.7505478662053</v>
      </c>
      <c r="G23" s="51">
        <f t="shared" si="1"/>
        <v>1476.6378462913317</v>
      </c>
    </row>
    <row r="24" spans="2:8" ht="15" thickBot="1" x14ac:dyDescent="0.4">
      <c r="B24" s="6"/>
    </row>
    <row r="25" spans="2:8" ht="16" thickBot="1" x14ac:dyDescent="0.4">
      <c r="B25" s="81" t="s">
        <v>47</v>
      </c>
      <c r="C25" s="82"/>
      <c r="D25" s="82"/>
      <c r="E25" s="82"/>
      <c r="F25" s="82"/>
      <c r="G25" s="82"/>
      <c r="H25" s="83"/>
    </row>
    <row r="26" spans="2:8" ht="43.5" x14ac:dyDescent="0.35">
      <c r="B26" s="87" t="s">
        <v>5</v>
      </c>
      <c r="C26" s="89"/>
      <c r="D26" s="39" t="s">
        <v>49</v>
      </c>
      <c r="E26" s="39" t="s">
        <v>48</v>
      </c>
      <c r="F26" s="39" t="s">
        <v>50</v>
      </c>
      <c r="G26" s="39" t="s">
        <v>51</v>
      </c>
      <c r="H26" s="40" t="s">
        <v>7</v>
      </c>
    </row>
    <row r="27" spans="2:8" ht="30" customHeight="1" x14ac:dyDescent="0.35">
      <c r="B27" s="90" t="s">
        <v>52</v>
      </c>
      <c r="C27" s="90"/>
      <c r="D27" s="52">
        <v>17.3</v>
      </c>
      <c r="E27" s="52">
        <v>4.9000000000000004</v>
      </c>
      <c r="F27" s="53">
        <f>D27*20</f>
        <v>346</v>
      </c>
      <c r="G27" s="53">
        <f>E27*20</f>
        <v>98</v>
      </c>
      <c r="H27" s="8">
        <f>F27+G27</f>
        <v>444</v>
      </c>
    </row>
    <row r="28" spans="2:8" x14ac:dyDescent="0.35">
      <c r="B28" s="72" t="s">
        <v>78</v>
      </c>
      <c r="C28" s="74"/>
      <c r="D28" s="54"/>
      <c r="E28" s="54"/>
      <c r="F28" s="55">
        <f>'Escalation Factor'!S26</f>
        <v>2.4206349206349205</v>
      </c>
      <c r="G28" s="55">
        <f>'Escalation Factor'!T26</f>
        <v>1.1428571428571428</v>
      </c>
      <c r="H28" s="55">
        <f>'Escalation Factor'!U26</f>
        <v>1.8969555035128807</v>
      </c>
    </row>
    <row r="29" spans="2:8" ht="30" customHeight="1" x14ac:dyDescent="0.35">
      <c r="B29" s="72" t="s">
        <v>79</v>
      </c>
      <c r="C29" s="74"/>
      <c r="D29" s="52"/>
      <c r="E29" s="52"/>
      <c r="F29" s="8">
        <f>F28*F27</f>
        <v>837.53968253968253</v>
      </c>
      <c r="G29" s="8">
        <f t="shared" ref="G29:H29" si="2">G28*G27</f>
        <v>112</v>
      </c>
      <c r="H29" s="8">
        <f t="shared" si="2"/>
        <v>842.24824355971907</v>
      </c>
    </row>
    <row r="30" spans="2:8" ht="15" thickBot="1" x14ac:dyDescent="0.4"/>
    <row r="31" spans="2:8" ht="16" thickBot="1" x14ac:dyDescent="0.4">
      <c r="B31" s="81" t="s">
        <v>67</v>
      </c>
      <c r="C31" s="82"/>
      <c r="D31" s="82"/>
      <c r="E31" s="82"/>
      <c r="F31" s="82"/>
      <c r="G31" s="82"/>
      <c r="H31" s="83"/>
    </row>
    <row r="32" spans="2:8" ht="29" x14ac:dyDescent="0.35">
      <c r="B32" s="87" t="s">
        <v>5</v>
      </c>
      <c r="C32" s="88"/>
      <c r="D32" s="88"/>
      <c r="E32" s="89"/>
      <c r="F32" s="39" t="s">
        <v>35</v>
      </c>
      <c r="G32" s="39" t="s">
        <v>36</v>
      </c>
      <c r="H32" s="40" t="s">
        <v>7</v>
      </c>
    </row>
    <row r="33" spans="2:12" ht="30" customHeight="1" thickBot="1" x14ac:dyDescent="0.4">
      <c r="B33" s="84" t="s">
        <v>37</v>
      </c>
      <c r="C33" s="85"/>
      <c r="D33" s="85"/>
      <c r="E33" s="86"/>
      <c r="F33" s="23">
        <f>E23+F29</f>
        <v>2037.7396825396827</v>
      </c>
      <c r="G33" s="23">
        <f>G29+F23</f>
        <v>380.7505478662053</v>
      </c>
      <c r="H33" s="24">
        <f>F33+G33</f>
        <v>2418.4902304058878</v>
      </c>
      <c r="K33" s="5"/>
    </row>
    <row r="34" spans="2:12" ht="30" customHeight="1" x14ac:dyDescent="0.35">
      <c r="B34" s="72" t="s">
        <v>78</v>
      </c>
      <c r="C34" s="74"/>
      <c r="D34" s="54"/>
      <c r="E34" s="54"/>
      <c r="F34" s="55">
        <f>'Escalation Factor'!S30</f>
        <v>1.3609477398756513</v>
      </c>
      <c r="G34" s="55">
        <f>'Escalation Factor'!T30</f>
        <v>1.1359927470534905</v>
      </c>
      <c r="H34" s="55">
        <f>'Escalation Factor'!U30</f>
        <v>1.3001103346818685</v>
      </c>
      <c r="K34" s="5"/>
    </row>
    <row r="35" spans="2:12" ht="30" customHeight="1" x14ac:dyDescent="0.35">
      <c r="B35" s="41"/>
      <c r="C35" s="41"/>
      <c r="D35" s="41"/>
      <c r="E35" s="41"/>
      <c r="F35" s="42"/>
      <c r="G35" s="42"/>
      <c r="H35" s="42"/>
      <c r="K35" s="5"/>
    </row>
    <row r="36" spans="2:12" ht="30" customHeight="1" x14ac:dyDescent="0.35">
      <c r="B36" s="41"/>
      <c r="C36" s="41"/>
      <c r="D36" s="41"/>
      <c r="E36" s="41"/>
      <c r="F36" s="42"/>
      <c r="G36" s="42"/>
      <c r="H36" s="42"/>
      <c r="K36" s="5"/>
    </row>
    <row r="37" spans="2:12" ht="30" customHeight="1" x14ac:dyDescent="0.35">
      <c r="B37" s="64" t="s">
        <v>66</v>
      </c>
      <c r="C37" s="64"/>
      <c r="D37" s="64"/>
      <c r="E37" s="64"/>
      <c r="F37" s="64"/>
      <c r="G37" s="64"/>
      <c r="H37" s="64"/>
      <c r="K37" s="5"/>
    </row>
    <row r="38" spans="2:12" ht="43.5" customHeight="1" x14ac:dyDescent="0.35">
      <c r="B38" s="65" t="s">
        <v>5</v>
      </c>
      <c r="C38" s="65"/>
      <c r="D38" s="65"/>
      <c r="E38" s="65"/>
      <c r="F38" s="38" t="s">
        <v>68</v>
      </c>
      <c r="G38" s="38" t="s">
        <v>69</v>
      </c>
      <c r="H38" s="38" t="s">
        <v>70</v>
      </c>
      <c r="K38" s="5"/>
    </row>
    <row r="39" spans="2:12" ht="30" customHeight="1" x14ac:dyDescent="0.35">
      <c r="B39" s="90" t="s">
        <v>0</v>
      </c>
      <c r="C39" s="90"/>
      <c r="D39" s="90"/>
      <c r="E39" s="90"/>
      <c r="F39" s="8">
        <f>'PGE Cost Source'!AW3</f>
        <v>2129.4896825925925</v>
      </c>
      <c r="G39" s="8">
        <f>'PGE Cost Source'!AX3</f>
        <v>751.96818111111088</v>
      </c>
      <c r="H39" s="8">
        <f>F39+G39</f>
        <v>2881.4578637037034</v>
      </c>
      <c r="K39" s="5"/>
    </row>
    <row r="40" spans="2:12" ht="30" customHeight="1" x14ac:dyDescent="0.35">
      <c r="B40" s="90" t="s">
        <v>24</v>
      </c>
      <c r="C40" s="90"/>
      <c r="D40" s="90"/>
      <c r="E40" s="90"/>
      <c r="F40" s="8">
        <f>'PGE Cost Source'!AZ3</f>
        <v>2749.1670295604745</v>
      </c>
      <c r="G40" s="8">
        <f>'PGE Cost Source'!BA3</f>
        <v>501.58876851851858</v>
      </c>
      <c r="H40" s="8">
        <f>F40+G40</f>
        <v>3250.7557980789929</v>
      </c>
      <c r="K40" s="5"/>
    </row>
    <row r="41" spans="2:12" ht="15" thickBot="1" x14ac:dyDescent="0.4">
      <c r="H41" s="28"/>
    </row>
    <row r="42" spans="2:12" ht="19" thickBot="1" x14ac:dyDescent="0.5">
      <c r="B42" s="78" t="s">
        <v>18</v>
      </c>
      <c r="C42" s="79"/>
      <c r="D42" s="79"/>
      <c r="E42" s="79"/>
      <c r="F42" s="80"/>
    </row>
    <row r="43" spans="2:12" x14ac:dyDescent="0.35">
      <c r="B43" s="3"/>
      <c r="C43" s="4"/>
      <c r="D43" s="4"/>
      <c r="E43" s="4"/>
      <c r="F43" s="16"/>
    </row>
    <row r="44" spans="2:12" ht="15.5" x14ac:dyDescent="0.35">
      <c r="B44" s="20" t="s">
        <v>14</v>
      </c>
      <c r="C44" s="4"/>
      <c r="D44" s="4"/>
      <c r="E44" s="4"/>
      <c r="F44" s="16"/>
    </row>
    <row r="45" spans="2:12" x14ac:dyDescent="0.35">
      <c r="B45" s="21" t="s">
        <v>58</v>
      </c>
      <c r="C45" s="4"/>
      <c r="D45" s="4"/>
      <c r="E45" s="4"/>
      <c r="F45" s="16"/>
    </row>
    <row r="46" spans="2:12" x14ac:dyDescent="0.35">
      <c r="B46" s="21" t="s">
        <v>59</v>
      </c>
      <c r="C46" s="4"/>
      <c r="D46" s="4"/>
      <c r="E46" s="4"/>
      <c r="F46" s="16"/>
      <c r="G46" s="4"/>
      <c r="H46" s="4"/>
      <c r="I46" s="4"/>
      <c r="J46" s="4"/>
      <c r="K46" s="4"/>
      <c r="L46" s="4"/>
    </row>
    <row r="47" spans="2:12" x14ac:dyDescent="0.35">
      <c r="B47" s="21" t="s">
        <v>11</v>
      </c>
      <c r="C47" s="4"/>
      <c r="D47" s="4"/>
      <c r="E47" s="4"/>
      <c r="F47" s="16"/>
      <c r="G47" s="4"/>
      <c r="H47" s="4"/>
      <c r="I47" s="4"/>
      <c r="J47" s="4"/>
      <c r="K47" s="4"/>
      <c r="L47" s="4"/>
    </row>
    <row r="48" spans="2:12" x14ac:dyDescent="0.35">
      <c r="B48" s="21" t="s">
        <v>12</v>
      </c>
      <c r="C48" s="4"/>
      <c r="D48" s="4"/>
      <c r="E48" s="4"/>
      <c r="F48" s="16"/>
      <c r="G48" s="4"/>
      <c r="H48" s="4"/>
      <c r="I48" s="4"/>
      <c r="J48" s="4"/>
      <c r="K48" s="4"/>
    </row>
    <row r="49" spans="2:12" x14ac:dyDescent="0.35">
      <c r="B49" s="21" t="s">
        <v>13</v>
      </c>
      <c r="C49" s="4"/>
      <c r="D49" s="4"/>
      <c r="E49" s="4"/>
      <c r="F49" s="16"/>
      <c r="G49" s="4"/>
      <c r="H49" s="4"/>
      <c r="I49" s="4"/>
      <c r="J49" s="4"/>
      <c r="K49" s="4"/>
      <c r="L49" s="4"/>
    </row>
    <row r="50" spans="2:12" x14ac:dyDescent="0.35">
      <c r="B50" s="21" t="s">
        <v>54</v>
      </c>
      <c r="C50" s="4"/>
      <c r="D50" s="4"/>
      <c r="E50" s="4"/>
      <c r="F50" s="16"/>
      <c r="G50" s="4"/>
      <c r="H50" s="4"/>
      <c r="I50" s="4"/>
      <c r="J50" s="4"/>
      <c r="K50" s="4"/>
      <c r="L50" s="4"/>
    </row>
    <row r="51" spans="2:12" x14ac:dyDescent="0.35">
      <c r="B51" s="21"/>
      <c r="C51" s="4"/>
      <c r="D51" s="4"/>
      <c r="E51" s="4"/>
      <c r="F51" s="16"/>
      <c r="G51" s="4"/>
      <c r="H51" s="4"/>
      <c r="I51" s="4"/>
      <c r="J51" s="4"/>
      <c r="K51" s="4"/>
      <c r="L51" s="4"/>
    </row>
    <row r="52" spans="2:12" ht="15.5" x14ac:dyDescent="0.35">
      <c r="B52" s="20" t="s">
        <v>15</v>
      </c>
      <c r="C52" s="4"/>
      <c r="D52" s="4"/>
      <c r="E52" s="4"/>
      <c r="F52" s="16"/>
      <c r="G52" s="4"/>
      <c r="H52" s="4"/>
      <c r="I52" s="4"/>
      <c r="J52" s="4"/>
      <c r="K52" s="4"/>
    </row>
    <row r="53" spans="2:12" x14ac:dyDescent="0.35">
      <c r="B53" s="21" t="s">
        <v>60</v>
      </c>
      <c r="C53" s="4"/>
      <c r="D53" s="4"/>
      <c r="E53" s="4"/>
      <c r="F53" s="16"/>
      <c r="G53" s="4"/>
      <c r="H53" s="4"/>
      <c r="I53" s="4"/>
      <c r="J53" s="4"/>
      <c r="K53" s="4"/>
    </row>
    <row r="54" spans="2:12" x14ac:dyDescent="0.35">
      <c r="B54" s="21" t="s">
        <v>59</v>
      </c>
      <c r="C54" s="4"/>
      <c r="D54" s="4"/>
      <c r="E54" s="4"/>
      <c r="F54" s="16"/>
      <c r="G54" s="4"/>
      <c r="H54" s="4"/>
      <c r="I54" s="4"/>
      <c r="J54" s="4"/>
      <c r="K54" s="4"/>
    </row>
    <row r="55" spans="2:12" x14ac:dyDescent="0.35">
      <c r="B55" s="21" t="s">
        <v>11</v>
      </c>
      <c r="C55" s="4"/>
      <c r="D55" s="4"/>
      <c r="E55" s="4"/>
      <c r="F55" s="16"/>
      <c r="G55" s="4"/>
      <c r="H55" s="4"/>
      <c r="I55" s="4"/>
      <c r="J55" s="4"/>
      <c r="K55" s="4"/>
    </row>
    <row r="56" spans="2:12" x14ac:dyDescent="0.35">
      <c r="B56" s="21" t="s">
        <v>12</v>
      </c>
      <c r="C56" s="4"/>
      <c r="D56" s="4"/>
      <c r="E56" s="4"/>
      <c r="F56" s="16"/>
      <c r="G56" s="4"/>
      <c r="H56" s="4"/>
      <c r="I56" s="4"/>
      <c r="J56" s="4"/>
      <c r="K56" s="4"/>
    </row>
    <row r="57" spans="2:12" x14ac:dyDescent="0.35">
      <c r="B57" s="21" t="s">
        <v>61</v>
      </c>
      <c r="C57" s="4"/>
      <c r="D57" s="4"/>
      <c r="E57" s="4"/>
      <c r="F57" s="16"/>
      <c r="G57" s="4"/>
      <c r="H57" s="4"/>
      <c r="I57" s="4"/>
      <c r="J57" s="4"/>
      <c r="K57" s="4"/>
    </row>
    <row r="58" spans="2:12" x14ac:dyDescent="0.35">
      <c r="B58" s="21" t="s">
        <v>62</v>
      </c>
      <c r="C58" s="4"/>
      <c r="D58" s="4"/>
      <c r="E58" s="4"/>
      <c r="F58" s="16"/>
      <c r="G58" s="4"/>
      <c r="H58" s="4"/>
      <c r="I58" s="4"/>
      <c r="J58" s="4"/>
      <c r="K58" s="4"/>
    </row>
    <row r="59" spans="2:12" x14ac:dyDescent="0.35">
      <c r="C59" s="4"/>
      <c r="D59" s="4"/>
      <c r="E59" s="4"/>
      <c r="F59" s="16"/>
      <c r="G59" s="4"/>
      <c r="H59" s="4"/>
      <c r="I59" s="4"/>
      <c r="J59" s="4"/>
      <c r="K59" s="4"/>
    </row>
    <row r="60" spans="2:12" ht="15" thickBot="1" x14ac:dyDescent="0.4">
      <c r="B60" s="17"/>
      <c r="C60" s="18"/>
      <c r="D60" s="18"/>
      <c r="E60" s="18"/>
      <c r="F60" s="19"/>
      <c r="G60" s="4"/>
      <c r="H60" s="4"/>
      <c r="I60" s="4"/>
      <c r="J60" s="4"/>
      <c r="K60" s="4"/>
    </row>
    <row r="61" spans="2:12" x14ac:dyDescent="0.35">
      <c r="D61" s="4"/>
      <c r="E61" s="4"/>
      <c r="F61" s="4"/>
      <c r="G61" s="4"/>
      <c r="H61" s="4"/>
      <c r="I61" s="4"/>
      <c r="J61" s="4"/>
      <c r="K61" s="4"/>
    </row>
    <row r="62" spans="2:12" x14ac:dyDescent="0.35">
      <c r="D62" s="4"/>
      <c r="E62" s="4"/>
      <c r="F62" s="4"/>
      <c r="G62" s="4"/>
      <c r="H62" s="4"/>
      <c r="I62" s="4"/>
      <c r="J62" s="4"/>
      <c r="K62" s="4"/>
    </row>
  </sheetData>
  <mergeCells count="28">
    <mergeCell ref="B42:F42"/>
    <mergeCell ref="B9:D9"/>
    <mergeCell ref="B7:C7"/>
    <mergeCell ref="B8:D8"/>
    <mergeCell ref="B10:D10"/>
    <mergeCell ref="B11:D11"/>
    <mergeCell ref="B25:H25"/>
    <mergeCell ref="B31:H31"/>
    <mergeCell ref="B33:E33"/>
    <mergeCell ref="B32:E32"/>
    <mergeCell ref="B26:C26"/>
    <mergeCell ref="B27:C27"/>
    <mergeCell ref="B16:G16"/>
    <mergeCell ref="B40:E40"/>
    <mergeCell ref="B39:E39"/>
    <mergeCell ref="B34:C34"/>
    <mergeCell ref="B37:H37"/>
    <mergeCell ref="B38:E38"/>
    <mergeCell ref="B4:G4"/>
    <mergeCell ref="B12:D12"/>
    <mergeCell ref="B13:D13"/>
    <mergeCell ref="B29:C29"/>
    <mergeCell ref="B28:C28"/>
    <mergeCell ref="B23:D23"/>
    <mergeCell ref="B22:D22"/>
    <mergeCell ref="B19:C19"/>
    <mergeCell ref="B20:D20"/>
    <mergeCell ref="B21:D2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opLeftCell="F16" workbookViewId="0">
      <selection activeCell="N34" sqref="N34"/>
    </sheetView>
  </sheetViews>
  <sheetFormatPr defaultRowHeight="14.5" x14ac:dyDescent="0.35"/>
  <cols>
    <col min="2" max="2" width="33" customWidth="1"/>
    <col min="5" max="5" width="19" customWidth="1"/>
    <col min="7" max="7" width="23.6328125" customWidth="1"/>
    <col min="12" max="12" width="21.6328125" customWidth="1"/>
    <col min="14" max="14" width="18" customWidth="1"/>
    <col min="15" max="15" width="19.36328125" customWidth="1"/>
    <col min="17" max="17" width="27.54296875" customWidth="1"/>
  </cols>
  <sheetData>
    <row r="1" spans="1:21" x14ac:dyDescent="0.35">
      <c r="A1" t="s">
        <v>71</v>
      </c>
    </row>
    <row r="2" spans="1:21" x14ac:dyDescent="0.35">
      <c r="B2">
        <v>2012</v>
      </c>
      <c r="L2">
        <v>2018</v>
      </c>
    </row>
    <row r="3" spans="1:21" ht="15.5" x14ac:dyDescent="0.35">
      <c r="B3" s="64" t="s">
        <v>10</v>
      </c>
      <c r="C3" s="64"/>
      <c r="D3" s="64"/>
      <c r="E3" s="64"/>
      <c r="F3" s="64"/>
      <c r="G3" s="64"/>
      <c r="H3" s="1"/>
      <c r="L3" s="64" t="s">
        <v>10</v>
      </c>
      <c r="M3" s="64"/>
      <c r="N3" s="64"/>
      <c r="O3" s="64"/>
      <c r="P3" s="64"/>
      <c r="Q3" s="64"/>
      <c r="R3" s="1"/>
    </row>
    <row r="4" spans="1:21" ht="43.5" x14ac:dyDescent="0.35">
      <c r="B4" s="44" t="s">
        <v>5</v>
      </c>
      <c r="C4" s="44" t="s">
        <v>6</v>
      </c>
      <c r="D4" s="38" t="s">
        <v>3</v>
      </c>
      <c r="E4" s="38" t="s">
        <v>1</v>
      </c>
      <c r="F4" s="38" t="s">
        <v>2</v>
      </c>
      <c r="G4" s="38" t="s">
        <v>7</v>
      </c>
      <c r="H4" s="1"/>
      <c r="L4" s="44" t="s">
        <v>5</v>
      </c>
      <c r="M4" s="44" t="s">
        <v>6</v>
      </c>
      <c r="N4" s="38" t="s">
        <v>3</v>
      </c>
      <c r="O4" s="38" t="s">
        <v>1</v>
      </c>
      <c r="P4" s="38" t="s">
        <v>2</v>
      </c>
      <c r="Q4" s="38" t="s">
        <v>7</v>
      </c>
      <c r="R4" s="1"/>
      <c r="S4" s="38" t="s">
        <v>76</v>
      </c>
      <c r="T4" s="38" t="s">
        <v>75</v>
      </c>
      <c r="U4" s="38" t="s">
        <v>77</v>
      </c>
    </row>
    <row r="5" spans="1:21" ht="44" thickBot="1" x14ac:dyDescent="0.4">
      <c r="B5" s="29" t="s">
        <v>72</v>
      </c>
      <c r="C5" s="43" t="s">
        <v>4</v>
      </c>
      <c r="D5" s="30">
        <v>3</v>
      </c>
      <c r="E5" s="8">
        <v>2300</v>
      </c>
      <c r="F5" s="8">
        <v>201</v>
      </c>
      <c r="G5" s="8">
        <f>E5+F5</f>
        <v>2501</v>
      </c>
      <c r="H5" s="1"/>
      <c r="L5" s="29" t="s">
        <v>80</v>
      </c>
      <c r="M5" s="43" t="s">
        <v>4</v>
      </c>
      <c r="N5" s="30">
        <v>3</v>
      </c>
      <c r="O5" s="8">
        <v>2575</v>
      </c>
      <c r="P5" s="8">
        <v>227</v>
      </c>
      <c r="Q5" s="8">
        <f>O5+P5</f>
        <v>2802</v>
      </c>
      <c r="R5" s="1"/>
      <c r="S5" s="47">
        <f>O5/E5</f>
        <v>1.1195652173913044</v>
      </c>
      <c r="T5" s="47">
        <f t="shared" ref="T5:U5" si="0">P5/F5</f>
        <v>1.1293532338308458</v>
      </c>
      <c r="U5" s="47">
        <f t="shared" si="0"/>
        <v>1.1203518592562975</v>
      </c>
    </row>
    <row r="6" spans="1:21" ht="15" thickBot="1" x14ac:dyDescent="0.4">
      <c r="B6" s="66" t="s">
        <v>8</v>
      </c>
      <c r="C6" s="68"/>
      <c r="D6" s="13">
        <f>SUM(D5:D5)</f>
        <v>3</v>
      </c>
      <c r="E6" s="11">
        <f>SUM(E5:E5)</f>
        <v>2300</v>
      </c>
      <c r="F6" s="11">
        <f>SUM(F5:F5)</f>
        <v>201</v>
      </c>
      <c r="G6" s="12">
        <f>E6+F6</f>
        <v>2501</v>
      </c>
      <c r="H6" s="2"/>
      <c r="L6" s="66" t="s">
        <v>8</v>
      </c>
      <c r="M6" s="68"/>
      <c r="N6" s="13">
        <f>SUM(N5:N5)</f>
        <v>3</v>
      </c>
      <c r="O6" s="11">
        <f>SUM(O5:O5)</f>
        <v>2575</v>
      </c>
      <c r="P6" s="11">
        <f>SUM(P5:P5)</f>
        <v>227</v>
      </c>
      <c r="Q6" s="12">
        <f>O6+P6</f>
        <v>2802</v>
      </c>
      <c r="R6" s="2"/>
      <c r="S6" s="47">
        <f t="shared" ref="S6:S10" si="1">O6/E6</f>
        <v>1.1195652173913044</v>
      </c>
      <c r="T6" s="47">
        <f t="shared" ref="T6:T10" si="2">P6/F6</f>
        <v>1.1293532338308458</v>
      </c>
      <c r="U6" s="47">
        <f t="shared" ref="U6:U10" si="3">Q6/G6</f>
        <v>1.1203518592562975</v>
      </c>
    </row>
    <row r="7" spans="1:21" ht="15" thickBot="1" x14ac:dyDescent="0.4">
      <c r="B7" s="66" t="s">
        <v>9</v>
      </c>
      <c r="C7" s="67"/>
      <c r="D7" s="68"/>
      <c r="E7" s="11">
        <f>E6/D6</f>
        <v>766.66666666666663</v>
      </c>
      <c r="F7" s="11">
        <f>F6/D6</f>
        <v>67</v>
      </c>
      <c r="G7" s="12">
        <f>E7+F7</f>
        <v>833.66666666666663</v>
      </c>
      <c r="H7" s="10"/>
      <c r="L7" s="66" t="s">
        <v>9</v>
      </c>
      <c r="M7" s="67"/>
      <c r="N7" s="68"/>
      <c r="O7" s="11">
        <f>O6/N6</f>
        <v>858.33333333333337</v>
      </c>
      <c r="P7" s="11">
        <f>P6/N6</f>
        <v>75.666666666666671</v>
      </c>
      <c r="Q7" s="12">
        <f>O7+P7</f>
        <v>934</v>
      </c>
      <c r="R7" s="10"/>
      <c r="S7" s="47">
        <f t="shared" si="1"/>
        <v>1.1195652173913044</v>
      </c>
      <c r="T7" s="47">
        <f t="shared" si="2"/>
        <v>1.1293532338308458</v>
      </c>
      <c r="U7" s="47">
        <f t="shared" si="3"/>
        <v>1.1203518592562975</v>
      </c>
    </row>
    <row r="8" spans="1:21" ht="15" thickBot="1" x14ac:dyDescent="0.4">
      <c r="B8" s="75" t="s">
        <v>19</v>
      </c>
      <c r="C8" s="76"/>
      <c r="D8" s="77"/>
      <c r="E8" s="14">
        <f>E7*1000/400</f>
        <v>1916.6666666666665</v>
      </c>
      <c r="F8" s="14">
        <f>F7*1000/400</f>
        <v>167.5</v>
      </c>
      <c r="G8" s="15">
        <f>E8+F8</f>
        <v>2084.1666666666665</v>
      </c>
      <c r="H8" s="1"/>
      <c r="L8" s="75" t="s">
        <v>19</v>
      </c>
      <c r="M8" s="76"/>
      <c r="N8" s="77"/>
      <c r="O8" s="14">
        <f>O7*1000/400</f>
        <v>2145.8333333333335</v>
      </c>
      <c r="P8" s="14">
        <f>P7*1000/400</f>
        <v>189.16666666666669</v>
      </c>
      <c r="Q8" s="15">
        <f>O8+P8</f>
        <v>2335</v>
      </c>
      <c r="R8" s="1"/>
      <c r="S8" s="47">
        <f t="shared" si="1"/>
        <v>1.1195652173913044</v>
      </c>
      <c r="T8" s="47">
        <f t="shared" si="2"/>
        <v>1.1293532338308458</v>
      </c>
      <c r="U8" s="47">
        <f t="shared" si="3"/>
        <v>1.1203518592562975</v>
      </c>
    </row>
    <row r="9" spans="1:21" ht="15" thickBot="1" x14ac:dyDescent="0.4">
      <c r="B9" s="66" t="s">
        <v>45</v>
      </c>
      <c r="C9" s="67"/>
      <c r="D9" s="68"/>
      <c r="E9" s="11">
        <v>169</v>
      </c>
      <c r="F9" s="11">
        <v>18.5</v>
      </c>
      <c r="G9" s="12">
        <f>E9+F9</f>
        <v>187.5</v>
      </c>
      <c r="H9" s="10"/>
      <c r="L9" s="66" t="s">
        <v>45</v>
      </c>
      <c r="M9" s="67"/>
      <c r="N9" s="68"/>
      <c r="O9" s="11">
        <v>169</v>
      </c>
      <c r="P9" s="11">
        <v>18.5</v>
      </c>
      <c r="Q9" s="12">
        <f>O9+P9</f>
        <v>187.5</v>
      </c>
      <c r="R9" s="10"/>
      <c r="S9" s="47">
        <f t="shared" si="1"/>
        <v>1</v>
      </c>
      <c r="T9" s="47">
        <f t="shared" si="2"/>
        <v>1</v>
      </c>
      <c r="U9" s="47">
        <f t="shared" si="3"/>
        <v>1</v>
      </c>
    </row>
    <row r="10" spans="1:21" ht="15" thickBot="1" x14ac:dyDescent="0.4">
      <c r="B10" s="75" t="s">
        <v>46</v>
      </c>
      <c r="C10" s="76"/>
      <c r="D10" s="77"/>
      <c r="E10" s="14">
        <f>E8+E9</f>
        <v>2085.6666666666665</v>
      </c>
      <c r="F10" s="14">
        <f>F8+F9</f>
        <v>186</v>
      </c>
      <c r="G10" s="15">
        <f>G8+G9</f>
        <v>2271.6666666666665</v>
      </c>
      <c r="H10" s="1"/>
      <c r="L10" s="75" t="s">
        <v>46</v>
      </c>
      <c r="M10" s="76"/>
      <c r="N10" s="77"/>
      <c r="O10" s="14">
        <f>O8+O9</f>
        <v>2314.8333333333335</v>
      </c>
      <c r="P10" s="14">
        <f>P8+P9</f>
        <v>207.66666666666669</v>
      </c>
      <c r="Q10" s="15">
        <f>Q8+Q9</f>
        <v>2522.5</v>
      </c>
      <c r="R10" s="1"/>
      <c r="S10" s="47">
        <f t="shared" si="1"/>
        <v>1.1098769378296309</v>
      </c>
      <c r="T10" s="47">
        <f t="shared" si="2"/>
        <v>1.1164874551971327</v>
      </c>
      <c r="U10" s="47">
        <f t="shared" si="3"/>
        <v>1.1104181951577403</v>
      </c>
    </row>
    <row r="11" spans="1:21" x14ac:dyDescent="0.35">
      <c r="B11" s="6"/>
      <c r="C11" s="1"/>
      <c r="D11" s="1"/>
      <c r="E11" s="1"/>
      <c r="F11" s="1"/>
      <c r="G11" s="1"/>
      <c r="H11" s="1"/>
      <c r="L11" s="6"/>
      <c r="M11" s="1"/>
      <c r="N11" s="1"/>
      <c r="O11" s="1"/>
      <c r="P11" s="1"/>
      <c r="Q11" s="1"/>
      <c r="R11" s="1"/>
    </row>
    <row r="12" spans="1:21" x14ac:dyDescent="0.35">
      <c r="B12" s="6"/>
      <c r="C12" s="1"/>
      <c r="D12" s="1"/>
      <c r="E12" s="1"/>
      <c r="F12" s="1"/>
      <c r="G12" s="1"/>
      <c r="H12" s="1"/>
      <c r="L12" s="6"/>
      <c r="M12" s="1"/>
      <c r="N12" s="1"/>
      <c r="O12" s="1"/>
      <c r="P12" s="1"/>
      <c r="Q12" s="1"/>
      <c r="R12" s="1"/>
    </row>
    <row r="13" spans="1:21" ht="15.5" x14ac:dyDescent="0.35">
      <c r="B13" s="64" t="s">
        <v>17</v>
      </c>
      <c r="C13" s="64"/>
      <c r="D13" s="64"/>
      <c r="E13" s="64"/>
      <c r="F13" s="64"/>
      <c r="G13" s="64"/>
      <c r="H13" s="1"/>
      <c r="L13" s="64" t="s">
        <v>17</v>
      </c>
      <c r="M13" s="64"/>
      <c r="N13" s="64"/>
      <c r="O13" s="64"/>
      <c r="P13" s="64"/>
      <c r="Q13" s="64"/>
      <c r="R13" s="1"/>
    </row>
    <row r="14" spans="1:21" ht="43.5" x14ac:dyDescent="0.35">
      <c r="B14" s="44" t="s">
        <v>5</v>
      </c>
      <c r="C14" s="44" t="s">
        <v>6</v>
      </c>
      <c r="D14" s="38" t="s">
        <v>3</v>
      </c>
      <c r="E14" s="38" t="s">
        <v>1</v>
      </c>
      <c r="F14" s="38" t="s">
        <v>2</v>
      </c>
      <c r="G14" s="38" t="s">
        <v>7</v>
      </c>
      <c r="H14" s="1"/>
      <c r="L14" s="44" t="s">
        <v>5</v>
      </c>
      <c r="M14" s="44" t="s">
        <v>6</v>
      </c>
      <c r="N14" s="38" t="s">
        <v>3</v>
      </c>
      <c r="O14" s="38" t="s">
        <v>1</v>
      </c>
      <c r="P14" s="38" t="s">
        <v>2</v>
      </c>
      <c r="Q14" s="38" t="s">
        <v>7</v>
      </c>
      <c r="R14" s="1"/>
      <c r="S14" s="38" t="s">
        <v>76</v>
      </c>
      <c r="T14" s="38" t="s">
        <v>75</v>
      </c>
      <c r="U14" s="38" t="s">
        <v>77</v>
      </c>
    </row>
    <row r="15" spans="1:21" ht="29.5" thickBot="1" x14ac:dyDescent="0.4">
      <c r="B15" s="29" t="s">
        <v>73</v>
      </c>
      <c r="C15" s="43" t="s">
        <v>4</v>
      </c>
      <c r="D15" s="30">
        <v>3</v>
      </c>
      <c r="E15" s="8">
        <v>685</v>
      </c>
      <c r="F15" s="8">
        <v>209</v>
      </c>
      <c r="G15" s="8">
        <f>E15+F15</f>
        <v>894</v>
      </c>
      <c r="H15" s="1"/>
      <c r="L15" s="29" t="s">
        <v>73</v>
      </c>
      <c r="M15" s="43" t="s">
        <v>4</v>
      </c>
      <c r="N15" s="30">
        <v>3</v>
      </c>
      <c r="O15" s="8">
        <v>685</v>
      </c>
      <c r="P15" s="8">
        <v>239</v>
      </c>
      <c r="Q15" s="8">
        <f>O15+P15</f>
        <v>924</v>
      </c>
      <c r="R15" s="1"/>
      <c r="S15" s="47">
        <f t="shared" ref="S15:S20" si="4">O15/E15</f>
        <v>1</v>
      </c>
      <c r="T15" s="47">
        <f t="shared" ref="T15:T20" si="5">P15/F15</f>
        <v>1.1435406698564594</v>
      </c>
      <c r="U15" s="47">
        <f t="shared" ref="U15:U20" si="6">Q15/G15</f>
        <v>1.0335570469798658</v>
      </c>
    </row>
    <row r="16" spans="1:21" ht="15" thickBot="1" x14ac:dyDescent="0.4">
      <c r="B16" s="66" t="s">
        <v>8</v>
      </c>
      <c r="C16" s="68"/>
      <c r="D16" s="13">
        <f>SUM(D15:D15)</f>
        <v>3</v>
      </c>
      <c r="E16" s="11">
        <f>SUM(E15:E15)</f>
        <v>685</v>
      </c>
      <c r="F16" s="11">
        <f>SUM(F15:F15)</f>
        <v>209</v>
      </c>
      <c r="G16" s="12">
        <f>E16+F16</f>
        <v>894</v>
      </c>
      <c r="H16" s="2"/>
      <c r="L16" s="66" t="s">
        <v>8</v>
      </c>
      <c r="M16" s="68"/>
      <c r="N16" s="13">
        <f>SUM(N15:N15)</f>
        <v>3</v>
      </c>
      <c r="O16" s="11">
        <f>SUM(O15:O15)</f>
        <v>685</v>
      </c>
      <c r="P16" s="11">
        <f>SUM(P15:P15)</f>
        <v>239</v>
      </c>
      <c r="Q16" s="12">
        <f>O16+P16</f>
        <v>924</v>
      </c>
      <c r="R16" s="2"/>
      <c r="S16" s="47">
        <f t="shared" si="4"/>
        <v>1</v>
      </c>
      <c r="T16" s="47">
        <f t="shared" si="5"/>
        <v>1.1435406698564594</v>
      </c>
      <c r="U16" s="47">
        <f t="shared" si="6"/>
        <v>1.0335570469798658</v>
      </c>
    </row>
    <row r="17" spans="2:21" ht="15" thickBot="1" x14ac:dyDescent="0.4">
      <c r="B17" s="66" t="s">
        <v>9</v>
      </c>
      <c r="C17" s="67"/>
      <c r="D17" s="68"/>
      <c r="E17" s="11">
        <f>E16/D16</f>
        <v>228.33333333333334</v>
      </c>
      <c r="F17" s="11">
        <f>F16/D16</f>
        <v>69.666666666666671</v>
      </c>
      <c r="G17" s="12">
        <f>E17+F17</f>
        <v>298</v>
      </c>
      <c r="H17" s="10"/>
      <c r="L17" s="66" t="s">
        <v>9</v>
      </c>
      <c r="M17" s="67"/>
      <c r="N17" s="68"/>
      <c r="O17" s="11">
        <f>O16/N16</f>
        <v>228.33333333333334</v>
      </c>
      <c r="P17" s="11">
        <f>P16/N16</f>
        <v>79.666666666666671</v>
      </c>
      <c r="Q17" s="12">
        <f>O17+P17</f>
        <v>308</v>
      </c>
      <c r="R17" s="10"/>
      <c r="S17" s="47">
        <f t="shared" si="4"/>
        <v>1</v>
      </c>
      <c r="T17" s="47">
        <f t="shared" si="5"/>
        <v>1.1435406698564594</v>
      </c>
      <c r="U17" s="47">
        <f t="shared" si="6"/>
        <v>1.0335570469798658</v>
      </c>
    </row>
    <row r="18" spans="2:21" ht="15" thickBot="1" x14ac:dyDescent="0.4">
      <c r="B18" s="75" t="s">
        <v>64</v>
      </c>
      <c r="C18" s="76"/>
      <c r="D18" s="77"/>
      <c r="E18" s="14">
        <f>E17*1000/400</f>
        <v>570.83333333333337</v>
      </c>
      <c r="F18" s="14">
        <f>F17*1000/400</f>
        <v>174.16666666666669</v>
      </c>
      <c r="G18" s="15">
        <f>E18+F18</f>
        <v>745</v>
      </c>
      <c r="H18" s="1"/>
      <c r="L18" s="75" t="s">
        <v>64</v>
      </c>
      <c r="M18" s="76"/>
      <c r="N18" s="77"/>
      <c r="O18" s="14">
        <f>O17*1000/400</f>
        <v>570.83333333333337</v>
      </c>
      <c r="P18" s="14">
        <f>P17*1000/400</f>
        <v>199.16666666666669</v>
      </c>
      <c r="Q18" s="15">
        <f>O18+P18</f>
        <v>770</v>
      </c>
      <c r="R18" s="1"/>
      <c r="S18" s="47">
        <f t="shared" si="4"/>
        <v>1</v>
      </c>
      <c r="T18" s="47">
        <f t="shared" si="5"/>
        <v>1.1435406698564594</v>
      </c>
      <c r="U18" s="47">
        <f t="shared" si="6"/>
        <v>1.0335570469798658</v>
      </c>
    </row>
    <row r="19" spans="2:21" ht="15" thickBot="1" x14ac:dyDescent="0.4">
      <c r="B19" s="66" t="s">
        <v>45</v>
      </c>
      <c r="C19" s="67"/>
      <c r="D19" s="68"/>
      <c r="E19" s="11">
        <v>169</v>
      </c>
      <c r="F19" s="11">
        <v>18.5</v>
      </c>
      <c r="G19" s="12">
        <f>E19+F19</f>
        <v>187.5</v>
      </c>
      <c r="H19" s="10"/>
      <c r="L19" s="66" t="s">
        <v>45</v>
      </c>
      <c r="M19" s="67"/>
      <c r="N19" s="68"/>
      <c r="O19" s="11">
        <v>169</v>
      </c>
      <c r="P19" s="11">
        <v>18.5</v>
      </c>
      <c r="Q19" s="12">
        <f>O19+P19</f>
        <v>187.5</v>
      </c>
      <c r="R19" s="10"/>
      <c r="S19" s="47">
        <f t="shared" si="4"/>
        <v>1</v>
      </c>
      <c r="T19" s="47">
        <f t="shared" si="5"/>
        <v>1</v>
      </c>
      <c r="U19" s="47">
        <f t="shared" si="6"/>
        <v>1</v>
      </c>
    </row>
    <row r="20" spans="2:21" ht="15" thickBot="1" x14ac:dyDescent="0.4">
      <c r="B20" s="75" t="s">
        <v>65</v>
      </c>
      <c r="C20" s="76"/>
      <c r="D20" s="77"/>
      <c r="E20" s="14">
        <f>E18+E19</f>
        <v>739.83333333333337</v>
      </c>
      <c r="F20" s="14">
        <f>F18+F19</f>
        <v>192.66666666666669</v>
      </c>
      <c r="G20" s="15">
        <f>G18+G19</f>
        <v>932.5</v>
      </c>
      <c r="H20" s="1"/>
      <c r="L20" s="75" t="s">
        <v>65</v>
      </c>
      <c r="M20" s="76"/>
      <c r="N20" s="77"/>
      <c r="O20" s="14">
        <f>O18+O19</f>
        <v>739.83333333333337</v>
      </c>
      <c r="P20" s="14">
        <f>P18+P19</f>
        <v>217.66666666666669</v>
      </c>
      <c r="Q20" s="15">
        <f>Q18+Q19</f>
        <v>957.5</v>
      </c>
      <c r="R20" s="1"/>
      <c r="S20" s="47">
        <f t="shared" si="4"/>
        <v>1</v>
      </c>
      <c r="T20" s="47">
        <f t="shared" si="5"/>
        <v>1.1297577854671279</v>
      </c>
      <c r="U20" s="47">
        <f t="shared" si="6"/>
        <v>1.0268096514745308</v>
      </c>
    </row>
    <row r="21" spans="2:21" x14ac:dyDescent="0.35">
      <c r="B21" s="6"/>
      <c r="C21" s="1"/>
      <c r="D21" s="1"/>
      <c r="E21" s="1"/>
      <c r="F21" s="1"/>
      <c r="G21" s="1"/>
      <c r="H21" s="1"/>
      <c r="L21" s="6"/>
      <c r="M21" s="1"/>
      <c r="N21" s="1"/>
      <c r="O21" s="1"/>
      <c r="P21" s="1"/>
      <c r="Q21" s="1"/>
      <c r="R21" s="1"/>
    </row>
    <row r="22" spans="2:21" x14ac:dyDescent="0.35">
      <c r="B22" s="6"/>
      <c r="C22" s="1"/>
      <c r="D22" s="1"/>
      <c r="E22" s="1"/>
      <c r="F22" s="1"/>
      <c r="G22" s="1"/>
      <c r="H22" s="1"/>
      <c r="L22" s="6"/>
      <c r="M22" s="1"/>
      <c r="N22" s="1"/>
      <c r="O22" s="1"/>
      <c r="P22" s="1"/>
      <c r="Q22" s="1"/>
      <c r="R22" s="1"/>
    </row>
    <row r="23" spans="2:21" ht="15" thickBot="1" x14ac:dyDescent="0.4">
      <c r="B23" s="6"/>
      <c r="C23" s="1"/>
      <c r="D23" s="1"/>
      <c r="E23" s="1"/>
      <c r="F23" s="1"/>
      <c r="G23" s="1"/>
      <c r="H23" s="1"/>
      <c r="L23" s="6"/>
      <c r="M23" s="1"/>
      <c r="N23" s="1"/>
      <c r="O23" s="1"/>
      <c r="P23" s="1"/>
      <c r="Q23" s="1"/>
      <c r="R23" s="1"/>
    </row>
    <row r="24" spans="2:21" ht="16" thickBot="1" x14ac:dyDescent="0.4">
      <c r="B24" s="81" t="s">
        <v>47</v>
      </c>
      <c r="C24" s="82"/>
      <c r="D24" s="82"/>
      <c r="E24" s="82"/>
      <c r="F24" s="82"/>
      <c r="G24" s="82"/>
      <c r="H24" s="83"/>
      <c r="L24" s="81" t="s">
        <v>47</v>
      </c>
      <c r="M24" s="82"/>
      <c r="N24" s="82"/>
      <c r="O24" s="82"/>
      <c r="P24" s="82"/>
      <c r="Q24" s="82"/>
      <c r="R24" s="83"/>
    </row>
    <row r="25" spans="2:21" ht="43.5" x14ac:dyDescent="0.35">
      <c r="B25" s="87" t="s">
        <v>5</v>
      </c>
      <c r="C25" s="89"/>
      <c r="D25" s="39" t="s">
        <v>49</v>
      </c>
      <c r="E25" s="39" t="s">
        <v>48</v>
      </c>
      <c r="F25" s="39" t="s">
        <v>50</v>
      </c>
      <c r="G25" s="39" t="s">
        <v>51</v>
      </c>
      <c r="H25" s="40" t="s">
        <v>7</v>
      </c>
      <c r="L25" s="87" t="s">
        <v>5</v>
      </c>
      <c r="M25" s="89"/>
      <c r="N25" s="39" t="s">
        <v>49</v>
      </c>
      <c r="O25" s="39" t="s">
        <v>48</v>
      </c>
      <c r="P25" s="39" t="s">
        <v>50</v>
      </c>
      <c r="Q25" s="39" t="s">
        <v>51</v>
      </c>
      <c r="R25" s="45" t="s">
        <v>7</v>
      </c>
      <c r="S25" s="38" t="s">
        <v>76</v>
      </c>
      <c r="T25" s="38" t="s">
        <v>75</v>
      </c>
      <c r="U25" s="38" t="s">
        <v>77</v>
      </c>
    </row>
    <row r="26" spans="2:21" ht="26.5" customHeight="1" thickBot="1" x14ac:dyDescent="0.4">
      <c r="B26" s="91" t="s">
        <v>74</v>
      </c>
      <c r="C26" s="92"/>
      <c r="D26" s="26">
        <v>12.6</v>
      </c>
      <c r="E26" s="26">
        <v>8.75</v>
      </c>
      <c r="F26" s="27">
        <f>D26*20</f>
        <v>252</v>
      </c>
      <c r="G26" s="27">
        <f>E26*20</f>
        <v>175</v>
      </c>
      <c r="H26" s="24">
        <f>F26+G26</f>
        <v>427</v>
      </c>
      <c r="L26" s="91" t="s">
        <v>74</v>
      </c>
      <c r="M26" s="92"/>
      <c r="N26" s="26">
        <v>30.5</v>
      </c>
      <c r="O26" s="26">
        <v>10</v>
      </c>
      <c r="P26" s="27">
        <f>N26*20</f>
        <v>610</v>
      </c>
      <c r="Q26" s="27">
        <f>O26*20</f>
        <v>200</v>
      </c>
      <c r="R26" s="46">
        <f>P26+Q26</f>
        <v>810</v>
      </c>
      <c r="S26" s="47">
        <f>P26/F26</f>
        <v>2.4206349206349205</v>
      </c>
      <c r="T26" s="47">
        <f>Q26/G26</f>
        <v>1.1428571428571428</v>
      </c>
      <c r="U26" s="47">
        <f>R26/H26</f>
        <v>1.8969555035128807</v>
      </c>
    </row>
    <row r="27" spans="2:21" ht="15" thickBot="1" x14ac:dyDescent="0.4">
      <c r="B27" s="1"/>
      <c r="C27" s="1"/>
      <c r="D27" s="1"/>
      <c r="E27" s="1"/>
      <c r="F27" s="1"/>
      <c r="G27" s="1"/>
      <c r="H27" s="1"/>
      <c r="L27" s="1"/>
      <c r="M27" s="1"/>
      <c r="N27" s="1"/>
      <c r="O27" s="1"/>
      <c r="P27" s="1"/>
      <c r="Q27" s="1"/>
      <c r="R27" s="1"/>
    </row>
    <row r="28" spans="2:21" ht="16" thickBot="1" x14ac:dyDescent="0.4">
      <c r="B28" s="81" t="s">
        <v>67</v>
      </c>
      <c r="C28" s="82"/>
      <c r="D28" s="82"/>
      <c r="E28" s="82"/>
      <c r="F28" s="82"/>
      <c r="G28" s="82"/>
      <c r="H28" s="83"/>
      <c r="L28" s="81" t="s">
        <v>67</v>
      </c>
      <c r="M28" s="82"/>
      <c r="N28" s="82"/>
      <c r="O28" s="82"/>
      <c r="P28" s="82"/>
      <c r="Q28" s="82"/>
      <c r="R28" s="83"/>
    </row>
    <row r="29" spans="2:21" ht="58" x14ac:dyDescent="0.35">
      <c r="B29" s="87" t="s">
        <v>5</v>
      </c>
      <c r="C29" s="88"/>
      <c r="D29" s="88"/>
      <c r="E29" s="89"/>
      <c r="F29" s="39" t="s">
        <v>35</v>
      </c>
      <c r="G29" s="39" t="s">
        <v>36</v>
      </c>
      <c r="H29" s="40" t="s">
        <v>7</v>
      </c>
      <c r="L29" s="87" t="s">
        <v>5</v>
      </c>
      <c r="M29" s="88"/>
      <c r="N29" s="88"/>
      <c r="O29" s="89"/>
      <c r="P29" s="39" t="s">
        <v>35</v>
      </c>
      <c r="Q29" s="39" t="s">
        <v>36</v>
      </c>
      <c r="R29" s="45" t="s">
        <v>7</v>
      </c>
      <c r="S29" s="38" t="s">
        <v>76</v>
      </c>
      <c r="T29" s="38" t="s">
        <v>75</v>
      </c>
      <c r="U29" s="38" t="s">
        <v>77</v>
      </c>
    </row>
    <row r="30" spans="2:21" ht="15" thickBot="1" x14ac:dyDescent="0.4">
      <c r="B30" s="84" t="s">
        <v>37</v>
      </c>
      <c r="C30" s="85"/>
      <c r="D30" s="85"/>
      <c r="E30" s="86"/>
      <c r="F30" s="23">
        <f>E20+F26</f>
        <v>991.83333333333337</v>
      </c>
      <c r="G30" s="23">
        <f>G26+F20</f>
        <v>367.66666666666669</v>
      </c>
      <c r="H30" s="24">
        <f>F30+G30</f>
        <v>1359.5</v>
      </c>
      <c r="L30" s="84" t="s">
        <v>37</v>
      </c>
      <c r="M30" s="85"/>
      <c r="N30" s="85"/>
      <c r="O30" s="86"/>
      <c r="P30" s="23">
        <f>O20+P26</f>
        <v>1349.8333333333335</v>
      </c>
      <c r="Q30" s="23">
        <f>Q26+P20</f>
        <v>417.66666666666669</v>
      </c>
      <c r="R30" s="46">
        <f>P30+Q30</f>
        <v>1767.5000000000002</v>
      </c>
      <c r="S30" s="47">
        <f>P30/F30</f>
        <v>1.3609477398756513</v>
      </c>
      <c r="T30" s="47">
        <f>Q30/G30</f>
        <v>1.1359927470534905</v>
      </c>
      <c r="U30" s="47">
        <f>R30/H30</f>
        <v>1.3001103346818685</v>
      </c>
    </row>
  </sheetData>
  <mergeCells count="36">
    <mergeCell ref="B3:G3"/>
    <mergeCell ref="B6:C6"/>
    <mergeCell ref="B7:D7"/>
    <mergeCell ref="B8:D8"/>
    <mergeCell ref="B9:D9"/>
    <mergeCell ref="B29:E29"/>
    <mergeCell ref="B30:E30"/>
    <mergeCell ref="B13:G13"/>
    <mergeCell ref="B16:C16"/>
    <mergeCell ref="B17:D17"/>
    <mergeCell ref="B18:D18"/>
    <mergeCell ref="B19:D19"/>
    <mergeCell ref="B20:D20"/>
    <mergeCell ref="L10:N10"/>
    <mergeCell ref="B24:H24"/>
    <mergeCell ref="B25:C25"/>
    <mergeCell ref="B26:C26"/>
    <mergeCell ref="B28:H28"/>
    <mergeCell ref="B10:D10"/>
    <mergeCell ref="L3:Q3"/>
    <mergeCell ref="L6:M6"/>
    <mergeCell ref="L7:N7"/>
    <mergeCell ref="L8:N8"/>
    <mergeCell ref="L9:N9"/>
    <mergeCell ref="L30:O30"/>
    <mergeCell ref="L13:Q13"/>
    <mergeCell ref="L16:M16"/>
    <mergeCell ref="L17:N17"/>
    <mergeCell ref="L18:N18"/>
    <mergeCell ref="L19:N19"/>
    <mergeCell ref="L20:N20"/>
    <mergeCell ref="L24:R24"/>
    <mergeCell ref="L25:M25"/>
    <mergeCell ref="L26:M26"/>
    <mergeCell ref="L28:R28"/>
    <mergeCell ref="L29:O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BE122"/>
  <sheetViews>
    <sheetView zoomScale="70" zoomScaleNormal="70" workbookViewId="0">
      <pane xSplit="9" ySplit="5" topLeftCell="AU6" activePane="bottomRight" state="frozen"/>
      <selection pane="topRight" activeCell="J1" sqref="J1"/>
      <selection pane="bottomLeft" activeCell="A6" sqref="A6"/>
      <selection pane="bottomRight" activeCell="AU115" sqref="AU115"/>
    </sheetView>
  </sheetViews>
  <sheetFormatPr defaultColWidth="8.7265625" defaultRowHeight="14.5" x14ac:dyDescent="0.35"/>
  <cols>
    <col min="1" max="1" width="19.26953125" style="93" customWidth="1"/>
    <col min="2" max="2" width="11.7265625" style="93" bestFit="1" customWidth="1"/>
    <col min="3" max="3" width="15" style="93" bestFit="1" customWidth="1"/>
    <col min="4" max="4" width="12.81640625" style="93" bestFit="1" customWidth="1"/>
    <col min="5" max="5" width="8.1796875" style="93" bestFit="1" customWidth="1"/>
    <col min="6" max="6" width="13.54296875" style="93" bestFit="1" customWidth="1"/>
    <col min="7" max="7" width="12.54296875" style="93" bestFit="1" customWidth="1"/>
    <col min="8" max="8" width="14.54296875" style="93" bestFit="1" customWidth="1"/>
    <col min="9" max="9" width="12.54296875" style="93" bestFit="1" customWidth="1"/>
    <col min="10" max="10" width="12.54296875" style="93" customWidth="1"/>
    <col min="11" max="11" width="13.1796875" style="93" bestFit="1" customWidth="1"/>
    <col min="12" max="12" width="13.54296875" style="93" bestFit="1" customWidth="1"/>
    <col min="13" max="13" width="14.26953125" style="93" bestFit="1" customWidth="1"/>
    <col min="14" max="16" width="14" style="93" bestFit="1" customWidth="1"/>
    <col min="17" max="17" width="14.81640625" style="93" bestFit="1" customWidth="1"/>
    <col min="18" max="19" width="14.54296875" style="93" bestFit="1" customWidth="1"/>
    <col min="20" max="20" width="15.453125" style="93" bestFit="1" customWidth="1"/>
    <col min="21" max="22" width="14.81640625" style="93" bestFit="1" customWidth="1"/>
    <col min="23" max="23" width="15.7265625" style="93" bestFit="1" customWidth="1"/>
    <col min="24" max="25" width="15.453125" style="93" bestFit="1" customWidth="1"/>
    <col min="26" max="26" width="15.7265625" style="93" bestFit="1" customWidth="1"/>
    <col min="27" max="27" width="15.26953125" style="93" bestFit="1" customWidth="1"/>
    <col min="28" max="28" width="15.7265625" style="93" bestFit="1" customWidth="1"/>
    <col min="29" max="29" width="8.7265625" style="93"/>
    <col min="30" max="30" width="25" style="93" bestFit="1" customWidth="1"/>
    <col min="31" max="31" width="15" style="93" bestFit="1" customWidth="1"/>
    <col min="32" max="32" width="22.453125" style="93" bestFit="1" customWidth="1"/>
    <col min="33" max="33" width="13.453125" style="93" bestFit="1" customWidth="1"/>
    <col min="34" max="34" width="14.54296875" style="93" bestFit="1" customWidth="1"/>
    <col min="35" max="35" width="12.453125" style="93" bestFit="1" customWidth="1"/>
    <col min="36" max="36" width="25.453125" style="93" bestFit="1" customWidth="1"/>
    <col min="37" max="37" width="15.453125" style="93" bestFit="1" customWidth="1"/>
    <col min="38" max="38" width="14.54296875" style="93" bestFit="1" customWidth="1"/>
    <col min="39" max="39" width="25.453125" style="93" bestFit="1" customWidth="1"/>
    <col min="40" max="40" width="61" style="93" bestFit="1" customWidth="1"/>
    <col min="41" max="41" width="38.7265625" style="93" bestFit="1" customWidth="1"/>
    <col min="42" max="42" width="57.453125" style="93" bestFit="1" customWidth="1"/>
    <col min="43" max="43" width="15.7265625" style="93" bestFit="1" customWidth="1"/>
    <col min="44" max="44" width="16.7265625" style="93" bestFit="1" customWidth="1"/>
    <col min="45" max="45" width="13.1796875" style="93" bestFit="1" customWidth="1"/>
    <col min="46" max="46" width="17.7265625" style="93" bestFit="1" customWidth="1"/>
    <col min="47" max="47" width="17.1796875" style="95" bestFit="1" customWidth="1"/>
    <col min="48" max="48" width="18.7265625" style="93" bestFit="1" customWidth="1"/>
    <col min="49" max="49" width="16.7265625" style="93" bestFit="1" customWidth="1"/>
    <col min="50" max="50" width="16.7265625" style="93" customWidth="1"/>
    <col min="51" max="51" width="19.7265625" style="93" bestFit="1" customWidth="1"/>
    <col min="52" max="52" width="25.26953125" style="93" bestFit="1" customWidth="1"/>
    <col min="53" max="53" width="25.26953125" style="93" customWidth="1"/>
    <col min="54" max="54" width="15.453125" style="93" bestFit="1" customWidth="1"/>
    <col min="55" max="55" width="8.7265625" style="93"/>
    <col min="56" max="56" width="16.81640625" style="93" bestFit="1" customWidth="1"/>
    <col min="57" max="57" width="15" style="93" bestFit="1" customWidth="1"/>
    <col min="58" max="16384" width="8.7265625" style="93"/>
  </cols>
  <sheetData>
    <row r="1" spans="1:57" x14ac:dyDescent="0.35">
      <c r="A1" s="93" t="s">
        <v>82</v>
      </c>
      <c r="AQ1" s="94"/>
      <c r="AR1" s="94"/>
      <c r="AS1" s="94"/>
      <c r="AV1" s="94"/>
      <c r="AW1" s="94"/>
      <c r="AX1" s="94"/>
      <c r="AY1" s="94"/>
      <c r="AZ1" s="94"/>
      <c r="BA1" s="94"/>
    </row>
    <row r="2" spans="1:57" x14ac:dyDescent="0.35">
      <c r="A2" s="93" t="s">
        <v>83</v>
      </c>
      <c r="AY2" s="96"/>
      <c r="AZ2" s="96"/>
      <c r="BA2" s="96"/>
      <c r="BB2" s="96"/>
    </row>
    <row r="3" spans="1:57" x14ac:dyDescent="0.35">
      <c r="A3" s="93" t="s">
        <v>84</v>
      </c>
      <c r="AW3" s="97">
        <f>SUBTOTAL(1,AW6:AW32)</f>
        <v>2129.4896825925925</v>
      </c>
      <c r="AX3" s="97">
        <f>SUBTOTAL(1,AX6:AX32)</f>
        <v>751.96818111111088</v>
      </c>
      <c r="AY3" s="98"/>
      <c r="AZ3" s="97">
        <f>SUBTOTAL(1,AZ6:AZ32)</f>
        <v>2749.1670295604745</v>
      </c>
      <c r="BA3" s="97">
        <f>SUBTOTAL(1,BA6:BA32)</f>
        <v>501.58876851851858</v>
      </c>
    </row>
    <row r="4" spans="1:57" ht="15" thickBot="1" x14ac:dyDescent="0.4">
      <c r="AW4" s="98">
        <v>1616.47</v>
      </c>
      <c r="AX4" s="98">
        <v>570.80999999999995</v>
      </c>
      <c r="AZ4" s="98">
        <f>1200.207+837.54</f>
        <v>2037.7470000000001</v>
      </c>
      <c r="BA4" s="98">
        <f>268.75+112</f>
        <v>380.75</v>
      </c>
      <c r="BD4" s="99" t="s">
        <v>85</v>
      </c>
      <c r="BE4" s="100"/>
    </row>
    <row r="5" spans="1:57" s="101" customFormat="1" ht="32" thickBot="1" x14ac:dyDescent="0.3">
      <c r="A5" s="101" t="s">
        <v>86</v>
      </c>
      <c r="B5" s="101" t="s">
        <v>87</v>
      </c>
      <c r="C5" s="101" t="s">
        <v>88</v>
      </c>
      <c r="D5" s="101" t="s">
        <v>89</v>
      </c>
      <c r="E5" s="101" t="s">
        <v>21</v>
      </c>
      <c r="F5" s="101" t="s">
        <v>90</v>
      </c>
      <c r="G5" s="101" t="s">
        <v>91</v>
      </c>
      <c r="H5" s="101" t="s">
        <v>92</v>
      </c>
      <c r="I5" s="101" t="s">
        <v>93</v>
      </c>
      <c r="J5" s="102" t="s">
        <v>94</v>
      </c>
      <c r="K5" s="101" t="s">
        <v>95</v>
      </c>
      <c r="L5" s="101" t="s">
        <v>96</v>
      </c>
      <c r="M5" s="101" t="s">
        <v>97</v>
      </c>
      <c r="N5" s="101" t="s">
        <v>98</v>
      </c>
      <c r="O5" s="101" t="s">
        <v>99</v>
      </c>
      <c r="P5" s="101" t="s">
        <v>100</v>
      </c>
      <c r="Q5" s="101" t="s">
        <v>101</v>
      </c>
      <c r="R5" s="101" t="s">
        <v>102</v>
      </c>
      <c r="S5" s="101" t="s">
        <v>103</v>
      </c>
      <c r="T5" s="101" t="s">
        <v>104</v>
      </c>
      <c r="U5" s="101" t="s">
        <v>105</v>
      </c>
      <c r="V5" s="101" t="s">
        <v>106</v>
      </c>
      <c r="W5" s="101" t="s">
        <v>107</v>
      </c>
      <c r="X5" s="101" t="s">
        <v>108</v>
      </c>
      <c r="Y5" s="101" t="s">
        <v>109</v>
      </c>
      <c r="Z5" s="101" t="s">
        <v>110</v>
      </c>
      <c r="AA5" s="101" t="s">
        <v>111</v>
      </c>
      <c r="AB5" s="101" t="s">
        <v>112</v>
      </c>
      <c r="AC5" s="101" t="s">
        <v>113</v>
      </c>
      <c r="AD5" s="101" t="s">
        <v>114</v>
      </c>
      <c r="AE5" s="101" t="s">
        <v>115</v>
      </c>
      <c r="AF5" s="101" t="s">
        <v>116</v>
      </c>
      <c r="AG5" s="101" t="s">
        <v>117</v>
      </c>
      <c r="AH5" s="101" t="s">
        <v>118</v>
      </c>
      <c r="AI5" s="101" t="s">
        <v>119</v>
      </c>
      <c r="AJ5" s="101" t="s">
        <v>120</v>
      </c>
      <c r="AK5" s="101" t="s">
        <v>121</v>
      </c>
      <c r="AL5" s="101" t="s">
        <v>122</v>
      </c>
      <c r="AM5" s="101" t="s">
        <v>123</v>
      </c>
      <c r="AN5" s="101" t="s">
        <v>124</v>
      </c>
      <c r="AO5" s="101" t="s">
        <v>125</v>
      </c>
      <c r="AP5" s="101" t="s">
        <v>126</v>
      </c>
      <c r="AQ5" s="103" t="s">
        <v>127</v>
      </c>
      <c r="AR5" s="103" t="s">
        <v>128</v>
      </c>
      <c r="AS5" s="103" t="s">
        <v>129</v>
      </c>
      <c r="AT5" s="104" t="s">
        <v>130</v>
      </c>
      <c r="AU5" s="105" t="s">
        <v>131</v>
      </c>
      <c r="AV5" s="106" t="s">
        <v>132</v>
      </c>
      <c r="AW5" s="107" t="s">
        <v>133</v>
      </c>
      <c r="AX5" s="107" t="s">
        <v>134</v>
      </c>
      <c r="AY5" s="108" t="s">
        <v>135</v>
      </c>
      <c r="AZ5" s="109" t="s">
        <v>136</v>
      </c>
      <c r="BA5" s="109" t="s">
        <v>137</v>
      </c>
      <c r="BB5" s="110" t="s">
        <v>138</v>
      </c>
      <c r="BC5" s="110"/>
      <c r="BD5" s="104" t="s">
        <v>130</v>
      </c>
      <c r="BE5" s="105" t="s">
        <v>131</v>
      </c>
    </row>
    <row r="6" spans="1:57" x14ac:dyDescent="0.35">
      <c r="A6" s="93" t="s">
        <v>139</v>
      </c>
      <c r="B6" s="93" t="s">
        <v>140</v>
      </c>
      <c r="C6" s="93" t="s">
        <v>141</v>
      </c>
      <c r="D6" s="111">
        <v>40944</v>
      </c>
      <c r="E6" s="93" t="s">
        <v>33</v>
      </c>
      <c r="F6" s="93" t="s">
        <v>142</v>
      </c>
      <c r="G6" s="93" t="s">
        <v>143</v>
      </c>
      <c r="H6" s="93" t="s">
        <v>144</v>
      </c>
      <c r="I6" s="93" t="s">
        <v>145</v>
      </c>
      <c r="J6" s="102" t="str">
        <f>CONCATENATE(F6,I6)</f>
        <v>DMoCZ01</v>
      </c>
      <c r="K6" s="93" t="s">
        <v>146</v>
      </c>
      <c r="L6" s="93">
        <v>1.24</v>
      </c>
      <c r="M6" s="93">
        <v>1240</v>
      </c>
      <c r="N6" s="93" t="s">
        <v>147</v>
      </c>
      <c r="O6" s="93">
        <v>0</v>
      </c>
      <c r="P6" s="93">
        <v>0</v>
      </c>
      <c r="Q6" s="93">
        <v>0</v>
      </c>
      <c r="R6" s="93">
        <v>-99.6</v>
      </c>
      <c r="S6" s="93">
        <v>2.83</v>
      </c>
      <c r="T6" s="93">
        <v>-104</v>
      </c>
      <c r="U6" s="93">
        <v>0</v>
      </c>
      <c r="V6" s="93">
        <v>0</v>
      </c>
      <c r="W6" s="93">
        <v>0</v>
      </c>
      <c r="X6" s="93">
        <v>-105</v>
      </c>
      <c r="Y6" s="93">
        <v>1.1499999999999999</v>
      </c>
      <c r="Z6" s="93">
        <v>-105</v>
      </c>
      <c r="AC6" s="93">
        <v>2</v>
      </c>
      <c r="AD6" s="93" t="s">
        <v>148</v>
      </c>
      <c r="AE6" s="93" t="s">
        <v>149</v>
      </c>
      <c r="AF6" s="93" t="s">
        <v>150</v>
      </c>
      <c r="AG6" s="93" t="s">
        <v>151</v>
      </c>
      <c r="AH6" s="93" t="s">
        <v>139</v>
      </c>
      <c r="AI6" s="93" t="s">
        <v>147</v>
      </c>
      <c r="AJ6" s="93" t="s">
        <v>37</v>
      </c>
      <c r="AK6" s="93" t="s">
        <v>152</v>
      </c>
      <c r="AM6" s="93" t="s">
        <v>37</v>
      </c>
      <c r="AN6" s="93" t="s">
        <v>153</v>
      </c>
      <c r="AO6" s="112" t="s">
        <v>154</v>
      </c>
      <c r="AP6" s="93" t="s">
        <v>155</v>
      </c>
      <c r="AQ6" s="113">
        <f>IF($E6="SCE",VLOOKUP($BB6,'[1]ESAF_&amp;_PDAF_Summary'!$B$4:$D$18,2,0),1)</f>
        <v>1</v>
      </c>
      <c r="AR6" s="113">
        <f>IF($E6="SCE",VLOOKUP($BB6,'[1]ESAF_&amp;_PDAF_Summary'!$B$4:$D$18,3,0),1)</f>
        <v>1</v>
      </c>
      <c r="AS6" s="113">
        <f>IF($E6="SCE",VLOOKUP($BB6,'[1]ESAF_&amp;_PDAF_Summary'!$B$4:$E$18,4,0),1)</f>
        <v>1</v>
      </c>
      <c r="AT6" s="93" t="str">
        <f>IF(AND($E6="PGE",$F6="MFm",OR($I6="CZ11",$I6="CZ12",$I6="CZ13")),X6*$AQ6*$AS6*$L6,IF($E6="SCE",R6*$AQ6*$AS6,"N/A"))</f>
        <v>N/A</v>
      </c>
      <c r="AU6" s="93" t="str">
        <f>IF(AND($E6="PGE",$F6="MFm",OR($I6="CZ11",$I6="CZ12",$I6="CZ13")),Y6*$AR6*$AS6*$L6,IF($E6="SCE",S6*$AR6*$AS6,"N/A"))</f>
        <v>N/A</v>
      </c>
      <c r="AV6" s="93">
        <v>0</v>
      </c>
      <c r="AW6" s="93">
        <f>IF($E6="PGE",$AW$4*$L6,IF($E6="SCE",$AW$4,"N/A"))</f>
        <v>2004.4228000000001</v>
      </c>
      <c r="AX6" s="93">
        <f>IF($E6="PGE",$AX$4*$L6,IF($E6="SCE",$AX$4,"N/A"))</f>
        <v>707.80439999999987</v>
      </c>
      <c r="AY6" s="96">
        <f>AZ6-AW6</f>
        <v>587.08298944936382</v>
      </c>
      <c r="AZ6" s="98">
        <f>IF($E6="PGE",($AZ$4*$L6)+'[1]Water Costs'!I$16,"N/A")</f>
        <v>2591.5057894493639</v>
      </c>
      <c r="BA6" s="93">
        <f>IF($E6="PGE",$BA$4*$L6,IF($E6="SCE",$BA$4,"N/A"))</f>
        <v>472.13</v>
      </c>
      <c r="BB6" s="93">
        <f t="shared" ref="BB6:BB69" si="0">VALUE(RIGHT(I6,2))</f>
        <v>1</v>
      </c>
    </row>
    <row r="7" spans="1:57" x14ac:dyDescent="0.35">
      <c r="A7" s="93" t="s">
        <v>139</v>
      </c>
      <c r="B7" s="93" t="s">
        <v>140</v>
      </c>
      <c r="C7" s="93" t="s">
        <v>141</v>
      </c>
      <c r="D7" s="111">
        <v>40944</v>
      </c>
      <c r="E7" s="93" t="s">
        <v>33</v>
      </c>
      <c r="F7" s="93" t="s">
        <v>142</v>
      </c>
      <c r="G7" s="93" t="s">
        <v>143</v>
      </c>
      <c r="H7" s="93" t="s">
        <v>144</v>
      </c>
      <c r="I7" s="93" t="s">
        <v>156</v>
      </c>
      <c r="J7" s="102" t="str">
        <f>CONCATENATE(F7,I7)</f>
        <v>DMoCZ02</v>
      </c>
      <c r="K7" s="93" t="s">
        <v>146</v>
      </c>
      <c r="L7" s="93">
        <v>1.24</v>
      </c>
      <c r="M7" s="93">
        <v>1240</v>
      </c>
      <c r="N7" s="93" t="s">
        <v>147</v>
      </c>
      <c r="O7" s="93">
        <v>0</v>
      </c>
      <c r="P7" s="93">
        <v>0</v>
      </c>
      <c r="Q7" s="93">
        <v>0</v>
      </c>
      <c r="R7" s="93">
        <v>519</v>
      </c>
      <c r="S7" s="93">
        <v>2.61</v>
      </c>
      <c r="T7" s="93">
        <v>-77.900000000000006</v>
      </c>
      <c r="U7" s="93">
        <v>0</v>
      </c>
      <c r="V7" s="93">
        <v>0</v>
      </c>
      <c r="W7" s="93">
        <v>0</v>
      </c>
      <c r="X7" s="93">
        <v>181</v>
      </c>
      <c r="Y7" s="93">
        <v>1.22</v>
      </c>
      <c r="Z7" s="93">
        <v>-78.400000000000006</v>
      </c>
      <c r="AC7" s="93">
        <v>2</v>
      </c>
      <c r="AD7" s="93" t="s">
        <v>148</v>
      </c>
      <c r="AE7" s="93" t="s">
        <v>149</v>
      </c>
      <c r="AF7" s="93" t="s">
        <v>157</v>
      </c>
      <c r="AG7" s="93" t="s">
        <v>151</v>
      </c>
      <c r="AH7" s="93" t="s">
        <v>139</v>
      </c>
      <c r="AI7" s="93" t="s">
        <v>147</v>
      </c>
      <c r="AJ7" s="93" t="s">
        <v>37</v>
      </c>
      <c r="AK7" s="93" t="s">
        <v>152</v>
      </c>
      <c r="AM7" s="93" t="s">
        <v>37</v>
      </c>
      <c r="AN7" s="93" t="s">
        <v>153</v>
      </c>
      <c r="AO7" s="93" t="s">
        <v>154</v>
      </c>
      <c r="AP7" s="93" t="s">
        <v>155</v>
      </c>
      <c r="AQ7" s="113">
        <f>IF($E7="SCE",VLOOKUP($BB7,'[1]ESAF_&amp;_PDAF_Summary'!$B$4:$D$18,2,0),1)</f>
        <v>1</v>
      </c>
      <c r="AR7" s="113">
        <f>IF($E7="SCE",VLOOKUP($BB7,'[1]ESAF_&amp;_PDAF_Summary'!$B$4:$D$18,3,0),1)</f>
        <v>1</v>
      </c>
      <c r="AS7" s="113">
        <f>IF($E7="SCE",VLOOKUP($BB7,'[1]ESAF_&amp;_PDAF_Summary'!$B$4:$E$18,4,0),1)</f>
        <v>1</v>
      </c>
      <c r="AT7" s="93" t="str">
        <f t="shared" ref="AT7:AT70" si="1">IF(AND($E7="PGE",$F7="MFm",OR($I7="CZ11",$I7="CZ12",$I7="CZ13")),X7*$AQ7*$AS7*$L7,IF($E7="SCE",R7*$AQ7*$AS7,"N/A"))</f>
        <v>N/A</v>
      </c>
      <c r="AU7" s="93" t="str">
        <f t="shared" ref="AU7:AU70" si="2">IF(AND($E7="PGE",$F7="MFm",OR($I7="CZ11",$I7="CZ12",$I7="CZ13")),Y7*$AR7*$AS7*$L7,IF($E7="SCE",S7*$AR7*$AS7,"N/A"))</f>
        <v>N/A</v>
      </c>
      <c r="AV7" s="93">
        <v>0</v>
      </c>
      <c r="AW7" s="93">
        <f>IF($E7="PGE",$AW$4*$L7,IF($E7="SCE",$AW$4,"N/A"))</f>
        <v>2004.4228000000001</v>
      </c>
      <c r="AX7" s="93">
        <f t="shared" ref="AX7:AX32" si="3">IF($E7="PGE",$AX$4*$L7,IF($E7="SCE",$AX$4,"N/A"))</f>
        <v>707.80439999999987</v>
      </c>
      <c r="AY7" s="96">
        <f t="shared" ref="AY7:AY32" si="4">AZ7-AW7</f>
        <v>587.08298944936382</v>
      </c>
      <c r="AZ7" s="98">
        <f>IF($E7="PGE",($AZ$4*$L7)+'[1]Water Costs'!I$16,"N/A")</f>
        <v>2591.5057894493639</v>
      </c>
      <c r="BA7" s="93">
        <f t="shared" ref="BA7:BA32" si="5">IF($E7="PGE",$BA$4*$L7,IF($E7="SCE",$BA$4,"N/A"))</f>
        <v>472.13</v>
      </c>
      <c r="BB7" s="93">
        <f t="shared" si="0"/>
        <v>2</v>
      </c>
    </row>
    <row r="8" spans="1:57" x14ac:dyDescent="0.35">
      <c r="A8" s="93" t="s">
        <v>139</v>
      </c>
      <c r="B8" s="93" t="s">
        <v>140</v>
      </c>
      <c r="C8" s="93" t="s">
        <v>141</v>
      </c>
      <c r="D8" s="111">
        <v>40944</v>
      </c>
      <c r="E8" s="93" t="s">
        <v>33</v>
      </c>
      <c r="F8" s="93" t="s">
        <v>142</v>
      </c>
      <c r="G8" s="93" t="s">
        <v>143</v>
      </c>
      <c r="H8" s="93" t="s">
        <v>144</v>
      </c>
      <c r="I8" s="93" t="s">
        <v>158</v>
      </c>
      <c r="J8" s="102" t="str">
        <f>CONCATENATE(F8,I8)</f>
        <v>DMoCZ03</v>
      </c>
      <c r="K8" s="93" t="s">
        <v>146</v>
      </c>
      <c r="L8" s="93">
        <v>1.24</v>
      </c>
      <c r="M8" s="93">
        <v>1240</v>
      </c>
      <c r="N8" s="93" t="s">
        <v>147</v>
      </c>
      <c r="O8" s="93">
        <v>0</v>
      </c>
      <c r="P8" s="93">
        <v>0</v>
      </c>
      <c r="Q8" s="93">
        <v>0</v>
      </c>
      <c r="R8" s="93">
        <v>67.3</v>
      </c>
      <c r="S8" s="93">
        <v>2.71</v>
      </c>
      <c r="T8" s="93">
        <v>-54.3</v>
      </c>
      <c r="U8" s="93">
        <v>0</v>
      </c>
      <c r="V8" s="93">
        <v>0</v>
      </c>
      <c r="W8" s="93">
        <v>0</v>
      </c>
      <c r="X8" s="93">
        <v>-13</v>
      </c>
      <c r="Y8" s="93">
        <v>1.07</v>
      </c>
      <c r="Z8" s="93">
        <v>-54.8</v>
      </c>
      <c r="AC8" s="93">
        <v>2</v>
      </c>
      <c r="AD8" s="93" t="s">
        <v>148</v>
      </c>
      <c r="AE8" s="93" t="s">
        <v>149</v>
      </c>
      <c r="AF8" s="93" t="s">
        <v>159</v>
      </c>
      <c r="AG8" s="93" t="s">
        <v>151</v>
      </c>
      <c r="AH8" s="93" t="s">
        <v>139</v>
      </c>
      <c r="AI8" s="93" t="s">
        <v>147</v>
      </c>
      <c r="AJ8" s="93" t="s">
        <v>37</v>
      </c>
      <c r="AK8" s="93" t="s">
        <v>152</v>
      </c>
      <c r="AM8" s="93" t="s">
        <v>37</v>
      </c>
      <c r="AN8" s="93" t="s">
        <v>153</v>
      </c>
      <c r="AO8" s="93" t="s">
        <v>154</v>
      </c>
      <c r="AP8" s="93" t="s">
        <v>155</v>
      </c>
      <c r="AQ8" s="113">
        <f>IF($E8="SCE",VLOOKUP($BB8,'[1]ESAF_&amp;_PDAF_Summary'!$B$4:$D$18,2,0),1)</f>
        <v>1</v>
      </c>
      <c r="AR8" s="113">
        <f>IF($E8="SCE",VLOOKUP($BB8,'[1]ESAF_&amp;_PDAF_Summary'!$B$4:$D$18,3,0),1)</f>
        <v>1</v>
      </c>
      <c r="AS8" s="113">
        <f>IF($E8="SCE",VLOOKUP($BB8,'[1]ESAF_&amp;_PDAF_Summary'!$B$4:$E$18,4,0),1)</f>
        <v>1</v>
      </c>
      <c r="AT8" s="93" t="str">
        <f t="shared" si="1"/>
        <v>N/A</v>
      </c>
      <c r="AU8" s="93" t="str">
        <f t="shared" si="2"/>
        <v>N/A</v>
      </c>
      <c r="AV8" s="93">
        <v>0</v>
      </c>
      <c r="AW8" s="93">
        <f t="shared" ref="AW8:AW71" si="6">IF($E8="PGE",$AW$4*$L8,IF($E8="SCE",$AW$4,"N/A"))</f>
        <v>2004.4228000000001</v>
      </c>
      <c r="AX8" s="93">
        <f t="shared" si="3"/>
        <v>707.80439999999987</v>
      </c>
      <c r="AY8" s="96">
        <f t="shared" si="4"/>
        <v>587.08298944936382</v>
      </c>
      <c r="AZ8" s="98">
        <f>IF($E8="PGE",($AZ$4*$L8)+'[1]Water Costs'!I$16,"N/A")</f>
        <v>2591.5057894493639</v>
      </c>
      <c r="BA8" s="93">
        <f t="shared" si="5"/>
        <v>472.13</v>
      </c>
      <c r="BB8" s="93">
        <f t="shared" si="0"/>
        <v>3</v>
      </c>
    </row>
    <row r="9" spans="1:57" x14ac:dyDescent="0.35">
      <c r="A9" s="93" t="s">
        <v>139</v>
      </c>
      <c r="B9" s="93" t="s">
        <v>140</v>
      </c>
      <c r="C9" s="93" t="s">
        <v>141</v>
      </c>
      <c r="D9" s="111">
        <v>40944</v>
      </c>
      <c r="E9" s="93" t="s">
        <v>33</v>
      </c>
      <c r="F9" s="93" t="s">
        <v>142</v>
      </c>
      <c r="G9" s="93" t="s">
        <v>143</v>
      </c>
      <c r="H9" s="93" t="s">
        <v>144</v>
      </c>
      <c r="I9" s="93" t="s">
        <v>160</v>
      </c>
      <c r="J9" s="102" t="str">
        <f>CONCATENATE(F9,I9)</f>
        <v>DMoCZ04</v>
      </c>
      <c r="K9" s="93" t="s">
        <v>146</v>
      </c>
      <c r="L9" s="93">
        <v>1.24</v>
      </c>
      <c r="M9" s="93">
        <v>1240</v>
      </c>
      <c r="N9" s="93" t="s">
        <v>147</v>
      </c>
      <c r="O9" s="93">
        <v>0</v>
      </c>
      <c r="P9" s="93">
        <v>0</v>
      </c>
      <c r="Q9" s="93">
        <v>0</v>
      </c>
      <c r="R9" s="93">
        <v>200</v>
      </c>
      <c r="S9" s="93">
        <v>1.42</v>
      </c>
      <c r="T9" s="93">
        <v>-52.8</v>
      </c>
      <c r="U9" s="93">
        <v>0</v>
      </c>
      <c r="V9" s="93">
        <v>0</v>
      </c>
      <c r="W9" s="93">
        <v>0</v>
      </c>
      <c r="X9" s="93">
        <v>38.6</v>
      </c>
      <c r="Y9" s="93">
        <v>0.96699999999999997</v>
      </c>
      <c r="Z9" s="93">
        <v>-53.1</v>
      </c>
      <c r="AC9" s="93">
        <v>2</v>
      </c>
      <c r="AD9" s="93" t="s">
        <v>148</v>
      </c>
      <c r="AE9" s="93" t="s">
        <v>149</v>
      </c>
      <c r="AF9" s="93" t="s">
        <v>161</v>
      </c>
      <c r="AG9" s="93" t="s">
        <v>151</v>
      </c>
      <c r="AH9" s="93" t="s">
        <v>139</v>
      </c>
      <c r="AI9" s="93" t="s">
        <v>147</v>
      </c>
      <c r="AJ9" s="93" t="s">
        <v>37</v>
      </c>
      <c r="AK9" s="93" t="s">
        <v>152</v>
      </c>
      <c r="AM9" s="93" t="s">
        <v>37</v>
      </c>
      <c r="AN9" s="93" t="s">
        <v>153</v>
      </c>
      <c r="AO9" s="93" t="s">
        <v>154</v>
      </c>
      <c r="AP9" s="93" t="s">
        <v>155</v>
      </c>
      <c r="AQ9" s="113">
        <f>IF($E9="SCE",VLOOKUP($BB9,'[1]ESAF_&amp;_PDAF_Summary'!$B$4:$D$18,2,0),1)</f>
        <v>1</v>
      </c>
      <c r="AR9" s="113">
        <f>IF($E9="SCE",VLOOKUP($BB9,'[1]ESAF_&amp;_PDAF_Summary'!$B$4:$D$18,3,0),1)</f>
        <v>1</v>
      </c>
      <c r="AS9" s="113">
        <f>IF($E9="SCE",VLOOKUP($BB9,'[1]ESAF_&amp;_PDAF_Summary'!$B$4:$E$18,4,0),1)</f>
        <v>1</v>
      </c>
      <c r="AT9" s="93" t="str">
        <f t="shared" si="1"/>
        <v>N/A</v>
      </c>
      <c r="AU9" s="93" t="str">
        <f t="shared" si="2"/>
        <v>N/A</v>
      </c>
      <c r="AV9" s="93">
        <v>0</v>
      </c>
      <c r="AW9" s="93">
        <f>IF($E9="PGE",$AW$4*$L9,IF($E9="SCE",$AW$4,"N/A"))</f>
        <v>2004.4228000000001</v>
      </c>
      <c r="AX9" s="93">
        <f t="shared" si="3"/>
        <v>707.80439999999987</v>
      </c>
      <c r="AY9" s="96">
        <f t="shared" si="4"/>
        <v>587.08298944936382</v>
      </c>
      <c r="AZ9" s="98">
        <f>IF($E9="PGE",($AZ$4*$L9)+'[1]Water Costs'!I$16,"N/A")</f>
        <v>2591.5057894493639</v>
      </c>
      <c r="BA9" s="93">
        <f t="shared" si="5"/>
        <v>472.13</v>
      </c>
      <c r="BB9" s="93">
        <f t="shared" si="0"/>
        <v>4</v>
      </c>
    </row>
    <row r="10" spans="1:57" x14ac:dyDescent="0.35">
      <c r="A10" s="93" t="s">
        <v>139</v>
      </c>
      <c r="B10" s="93" t="s">
        <v>140</v>
      </c>
      <c r="C10" s="93" t="s">
        <v>141</v>
      </c>
      <c r="D10" s="111">
        <v>40944</v>
      </c>
      <c r="E10" s="93" t="s">
        <v>33</v>
      </c>
      <c r="F10" s="93" t="s">
        <v>142</v>
      </c>
      <c r="G10" s="93" t="s">
        <v>143</v>
      </c>
      <c r="H10" s="93" t="s">
        <v>144</v>
      </c>
      <c r="I10" s="93" t="s">
        <v>162</v>
      </c>
      <c r="J10" s="102" t="str">
        <f>CONCATENATE(F10,I10)</f>
        <v>DMoCZ05</v>
      </c>
      <c r="K10" s="93" t="s">
        <v>146</v>
      </c>
      <c r="L10" s="93">
        <v>1.24</v>
      </c>
      <c r="M10" s="93">
        <v>1240</v>
      </c>
      <c r="N10" s="93" t="s">
        <v>147</v>
      </c>
      <c r="O10" s="93">
        <v>0</v>
      </c>
      <c r="P10" s="93">
        <v>0</v>
      </c>
      <c r="Q10" s="93">
        <v>0</v>
      </c>
      <c r="R10" s="93">
        <v>113</v>
      </c>
      <c r="S10" s="93">
        <v>2.83</v>
      </c>
      <c r="T10" s="93">
        <v>-53.2</v>
      </c>
      <c r="U10" s="93">
        <v>0</v>
      </c>
      <c r="V10" s="93">
        <v>0</v>
      </c>
      <c r="W10" s="93">
        <v>0</v>
      </c>
      <c r="X10" s="93">
        <v>8.82</v>
      </c>
      <c r="Y10" s="93">
        <v>1.34</v>
      </c>
      <c r="Z10" s="93">
        <v>-53.7</v>
      </c>
      <c r="AC10" s="93">
        <v>2</v>
      </c>
      <c r="AD10" s="93" t="s">
        <v>148</v>
      </c>
      <c r="AE10" s="93" t="s">
        <v>149</v>
      </c>
      <c r="AF10" s="93" t="s">
        <v>163</v>
      </c>
      <c r="AG10" s="93" t="s">
        <v>151</v>
      </c>
      <c r="AH10" s="93" t="s">
        <v>139</v>
      </c>
      <c r="AI10" s="93" t="s">
        <v>147</v>
      </c>
      <c r="AJ10" s="93" t="s">
        <v>37</v>
      </c>
      <c r="AK10" s="93" t="s">
        <v>152</v>
      </c>
      <c r="AM10" s="93" t="s">
        <v>37</v>
      </c>
      <c r="AN10" s="93" t="s">
        <v>153</v>
      </c>
      <c r="AO10" s="93" t="s">
        <v>154</v>
      </c>
      <c r="AP10" s="93" t="s">
        <v>155</v>
      </c>
      <c r="AQ10" s="113">
        <f>IF($E10="SCE",VLOOKUP($BB10,'[1]ESAF_&amp;_PDAF_Summary'!$B$4:$D$18,2,0),1)</f>
        <v>1</v>
      </c>
      <c r="AR10" s="113">
        <f>IF($E10="SCE",VLOOKUP($BB10,'[1]ESAF_&amp;_PDAF_Summary'!$B$4:$D$18,3,0),1)</f>
        <v>1</v>
      </c>
      <c r="AS10" s="113">
        <f>IF($E10="SCE",VLOOKUP($BB10,'[1]ESAF_&amp;_PDAF_Summary'!$B$4:$E$18,4,0),1)</f>
        <v>1</v>
      </c>
      <c r="AT10" s="93" t="str">
        <f t="shared" si="1"/>
        <v>N/A</v>
      </c>
      <c r="AU10" s="93" t="str">
        <f t="shared" si="2"/>
        <v>N/A</v>
      </c>
      <c r="AV10" s="93">
        <v>0</v>
      </c>
      <c r="AW10" s="93">
        <f t="shared" si="6"/>
        <v>2004.4228000000001</v>
      </c>
      <c r="AX10" s="93">
        <f t="shared" si="3"/>
        <v>707.80439999999987</v>
      </c>
      <c r="AY10" s="96">
        <f t="shared" si="4"/>
        <v>587.08298944936382</v>
      </c>
      <c r="AZ10" s="98">
        <f>IF($E10="PGE",($AZ$4*$L10)+'[1]Water Costs'!I$16,"N/A")</f>
        <v>2591.5057894493639</v>
      </c>
      <c r="BA10" s="93">
        <f t="shared" si="5"/>
        <v>472.13</v>
      </c>
      <c r="BB10" s="93">
        <f t="shared" si="0"/>
        <v>5</v>
      </c>
    </row>
    <row r="11" spans="1:57" x14ac:dyDescent="0.35">
      <c r="A11" s="93" t="s">
        <v>139</v>
      </c>
      <c r="B11" s="93" t="s">
        <v>140</v>
      </c>
      <c r="C11" s="93" t="s">
        <v>141</v>
      </c>
      <c r="D11" s="111">
        <v>40944</v>
      </c>
      <c r="E11" s="93" t="s">
        <v>33</v>
      </c>
      <c r="F11" s="93" t="s">
        <v>142</v>
      </c>
      <c r="G11" s="93" t="s">
        <v>143</v>
      </c>
      <c r="H11" s="93" t="s">
        <v>144</v>
      </c>
      <c r="I11" s="93" t="s">
        <v>164</v>
      </c>
      <c r="J11" s="102" t="str">
        <f t="shared" ref="J11:J74" si="7">CONCATENATE(F11,I11)</f>
        <v>DMoCZ11</v>
      </c>
      <c r="K11" s="93" t="s">
        <v>146</v>
      </c>
      <c r="L11" s="93">
        <v>1.24</v>
      </c>
      <c r="M11" s="93">
        <v>1240</v>
      </c>
      <c r="N11" s="93" t="s">
        <v>147</v>
      </c>
      <c r="O11" s="93">
        <v>0</v>
      </c>
      <c r="P11" s="93">
        <v>0</v>
      </c>
      <c r="Q11" s="93">
        <v>0</v>
      </c>
      <c r="R11" s="93">
        <v>1130</v>
      </c>
      <c r="S11" s="93">
        <v>2.96</v>
      </c>
      <c r="T11" s="93">
        <v>-80.5</v>
      </c>
      <c r="U11" s="93">
        <v>0</v>
      </c>
      <c r="V11" s="93">
        <v>0</v>
      </c>
      <c r="W11" s="93">
        <v>0</v>
      </c>
      <c r="X11" s="93">
        <v>431</v>
      </c>
      <c r="Y11" s="93">
        <v>1.3</v>
      </c>
      <c r="Z11" s="93">
        <v>-81.099999999999994</v>
      </c>
      <c r="AC11" s="93">
        <v>2</v>
      </c>
      <c r="AD11" s="93" t="s">
        <v>148</v>
      </c>
      <c r="AE11" s="93" t="s">
        <v>149</v>
      </c>
      <c r="AF11" s="93" t="s">
        <v>165</v>
      </c>
      <c r="AG11" s="93" t="s">
        <v>151</v>
      </c>
      <c r="AH11" s="93" t="s">
        <v>139</v>
      </c>
      <c r="AI11" s="93" t="s">
        <v>147</v>
      </c>
      <c r="AJ11" s="93" t="s">
        <v>37</v>
      </c>
      <c r="AK11" s="93" t="s">
        <v>152</v>
      </c>
      <c r="AM11" s="93" t="s">
        <v>37</v>
      </c>
      <c r="AN11" s="93" t="s">
        <v>153</v>
      </c>
      <c r="AO11" s="93" t="s">
        <v>154</v>
      </c>
      <c r="AP11" s="93" t="s">
        <v>155</v>
      </c>
      <c r="AQ11" s="113">
        <f>IF($E11="SCE",VLOOKUP($BB11,'[1]ESAF_&amp;_PDAF_Summary'!$B$4:$D$18,2,0),1)</f>
        <v>1</v>
      </c>
      <c r="AR11" s="113">
        <f>IF($E11="SCE",VLOOKUP($BB11,'[1]ESAF_&amp;_PDAF_Summary'!$B$4:$D$18,3,0),1)</f>
        <v>1</v>
      </c>
      <c r="AS11" s="113">
        <f>IF($E11="SCE",VLOOKUP($BB11,'[1]ESAF_&amp;_PDAF_Summary'!$B$4:$E$18,4,0),1)</f>
        <v>1</v>
      </c>
      <c r="AT11" s="93" t="str">
        <f t="shared" si="1"/>
        <v>N/A</v>
      </c>
      <c r="AU11" s="93" t="str">
        <f t="shared" si="2"/>
        <v>N/A</v>
      </c>
      <c r="AV11" s="93">
        <v>0</v>
      </c>
      <c r="AW11" s="93">
        <f t="shared" si="6"/>
        <v>2004.4228000000001</v>
      </c>
      <c r="AX11" s="93">
        <f t="shared" si="3"/>
        <v>707.80439999999987</v>
      </c>
      <c r="AY11" s="96">
        <f t="shared" si="4"/>
        <v>587.08298944936382</v>
      </c>
      <c r="AZ11" s="98">
        <f>IF($E11="PGE",($AZ$4*$L11)+'[1]Water Costs'!I$16,"N/A")</f>
        <v>2591.5057894493639</v>
      </c>
      <c r="BA11" s="93">
        <f t="shared" si="5"/>
        <v>472.13</v>
      </c>
      <c r="BB11" s="93">
        <f t="shared" si="0"/>
        <v>11</v>
      </c>
    </row>
    <row r="12" spans="1:57" x14ac:dyDescent="0.35">
      <c r="A12" s="93" t="s">
        <v>139</v>
      </c>
      <c r="B12" s="93" t="s">
        <v>140</v>
      </c>
      <c r="C12" s="93" t="s">
        <v>141</v>
      </c>
      <c r="D12" s="111">
        <v>40944</v>
      </c>
      <c r="E12" s="93" t="s">
        <v>33</v>
      </c>
      <c r="F12" s="93" t="s">
        <v>142</v>
      </c>
      <c r="G12" s="93" t="s">
        <v>143</v>
      </c>
      <c r="H12" s="93" t="s">
        <v>144</v>
      </c>
      <c r="I12" s="93" t="s">
        <v>166</v>
      </c>
      <c r="J12" s="102" t="str">
        <f t="shared" si="7"/>
        <v>DMoCZ12</v>
      </c>
      <c r="K12" s="93" t="s">
        <v>146</v>
      </c>
      <c r="L12" s="93">
        <v>1.24</v>
      </c>
      <c r="M12" s="93">
        <v>1240</v>
      </c>
      <c r="N12" s="93" t="s">
        <v>147</v>
      </c>
      <c r="O12" s="93">
        <v>0</v>
      </c>
      <c r="P12" s="93">
        <v>0</v>
      </c>
      <c r="Q12" s="93">
        <v>0</v>
      </c>
      <c r="R12" s="93">
        <v>776</v>
      </c>
      <c r="S12" s="93">
        <v>2.4900000000000002</v>
      </c>
      <c r="T12" s="93">
        <v>-71.3</v>
      </c>
      <c r="U12" s="93">
        <v>0</v>
      </c>
      <c r="V12" s="93">
        <v>0</v>
      </c>
      <c r="W12" s="93">
        <v>0</v>
      </c>
      <c r="X12" s="93">
        <v>261</v>
      </c>
      <c r="Y12" s="93">
        <v>1.18</v>
      </c>
      <c r="Z12" s="93">
        <v>-71.8</v>
      </c>
      <c r="AC12" s="93">
        <v>2</v>
      </c>
      <c r="AD12" s="93" t="s">
        <v>148</v>
      </c>
      <c r="AE12" s="93" t="s">
        <v>149</v>
      </c>
      <c r="AF12" s="93" t="s">
        <v>167</v>
      </c>
      <c r="AG12" s="93" t="s">
        <v>151</v>
      </c>
      <c r="AH12" s="93" t="s">
        <v>139</v>
      </c>
      <c r="AI12" s="93" t="s">
        <v>147</v>
      </c>
      <c r="AJ12" s="93" t="s">
        <v>37</v>
      </c>
      <c r="AK12" s="93" t="s">
        <v>152</v>
      </c>
      <c r="AM12" s="93" t="s">
        <v>37</v>
      </c>
      <c r="AN12" s="93" t="s">
        <v>153</v>
      </c>
      <c r="AO12" s="93" t="s">
        <v>154</v>
      </c>
      <c r="AP12" s="93" t="s">
        <v>155</v>
      </c>
      <c r="AQ12" s="113">
        <f>IF($E12="SCE",VLOOKUP($BB12,'[1]ESAF_&amp;_PDAF_Summary'!$B$4:$D$18,2,0),1)</f>
        <v>1</v>
      </c>
      <c r="AR12" s="113">
        <f>IF($E12="SCE",VLOOKUP($BB12,'[1]ESAF_&amp;_PDAF_Summary'!$B$4:$D$18,3,0),1)</f>
        <v>1</v>
      </c>
      <c r="AS12" s="113">
        <f>IF($E12="SCE",VLOOKUP($BB12,'[1]ESAF_&amp;_PDAF_Summary'!$B$4:$E$18,4,0),1)</f>
        <v>1</v>
      </c>
      <c r="AT12" s="93" t="str">
        <f t="shared" si="1"/>
        <v>N/A</v>
      </c>
      <c r="AU12" s="93" t="str">
        <f t="shared" si="2"/>
        <v>N/A</v>
      </c>
      <c r="AV12" s="93">
        <v>0</v>
      </c>
      <c r="AW12" s="93">
        <f t="shared" si="6"/>
        <v>2004.4228000000001</v>
      </c>
      <c r="AX12" s="93">
        <f t="shared" si="3"/>
        <v>707.80439999999987</v>
      </c>
      <c r="AY12" s="96">
        <f t="shared" si="4"/>
        <v>587.08298944936382</v>
      </c>
      <c r="AZ12" s="98">
        <f>IF($E12="PGE",($AZ$4*$L12)+'[1]Water Costs'!I$16,"N/A")</f>
        <v>2591.5057894493639</v>
      </c>
      <c r="BA12" s="93">
        <f t="shared" si="5"/>
        <v>472.13</v>
      </c>
      <c r="BB12" s="93">
        <f t="shared" si="0"/>
        <v>12</v>
      </c>
    </row>
    <row r="13" spans="1:57" x14ac:dyDescent="0.35">
      <c r="A13" s="93" t="s">
        <v>139</v>
      </c>
      <c r="B13" s="93" t="s">
        <v>140</v>
      </c>
      <c r="C13" s="93" t="s">
        <v>141</v>
      </c>
      <c r="D13" s="111">
        <v>40944</v>
      </c>
      <c r="E13" s="93" t="s">
        <v>33</v>
      </c>
      <c r="F13" s="93" t="s">
        <v>142</v>
      </c>
      <c r="G13" s="93" t="s">
        <v>143</v>
      </c>
      <c r="H13" s="93" t="s">
        <v>144</v>
      </c>
      <c r="I13" s="93" t="s">
        <v>168</v>
      </c>
      <c r="J13" s="102" t="str">
        <f t="shared" si="7"/>
        <v>DMoCZ13</v>
      </c>
      <c r="K13" s="93" t="s">
        <v>146</v>
      </c>
      <c r="L13" s="93">
        <v>1.24</v>
      </c>
      <c r="M13" s="93">
        <v>1240</v>
      </c>
      <c r="N13" s="93" t="s">
        <v>147</v>
      </c>
      <c r="O13" s="93">
        <v>0</v>
      </c>
      <c r="P13" s="93">
        <v>0</v>
      </c>
      <c r="Q13" s="93">
        <v>0</v>
      </c>
      <c r="R13" s="93">
        <v>1480</v>
      </c>
      <c r="S13" s="93">
        <v>2.67</v>
      </c>
      <c r="T13" s="93">
        <v>-60.7</v>
      </c>
      <c r="U13" s="93">
        <v>0</v>
      </c>
      <c r="V13" s="93">
        <v>0</v>
      </c>
      <c r="W13" s="93">
        <v>0</v>
      </c>
      <c r="X13" s="93">
        <v>542</v>
      </c>
      <c r="Y13" s="93">
        <v>1.2</v>
      </c>
      <c r="Z13" s="93">
        <v>-61.1</v>
      </c>
      <c r="AC13" s="93">
        <v>2</v>
      </c>
      <c r="AD13" s="93" t="s">
        <v>148</v>
      </c>
      <c r="AE13" s="93" t="s">
        <v>149</v>
      </c>
      <c r="AF13" s="93" t="s">
        <v>169</v>
      </c>
      <c r="AG13" s="93" t="s">
        <v>151</v>
      </c>
      <c r="AH13" s="93" t="s">
        <v>139</v>
      </c>
      <c r="AI13" s="93" t="s">
        <v>147</v>
      </c>
      <c r="AJ13" s="93" t="s">
        <v>37</v>
      </c>
      <c r="AK13" s="93" t="s">
        <v>152</v>
      </c>
      <c r="AM13" s="93" t="s">
        <v>37</v>
      </c>
      <c r="AN13" s="93" t="s">
        <v>153</v>
      </c>
      <c r="AO13" s="93" t="s">
        <v>154</v>
      </c>
      <c r="AP13" s="93" t="s">
        <v>155</v>
      </c>
      <c r="AQ13" s="113">
        <f>IF($E13="SCE",VLOOKUP($BB13,'[1]ESAF_&amp;_PDAF_Summary'!$B$4:$D$18,2,0),1)</f>
        <v>1</v>
      </c>
      <c r="AR13" s="113">
        <f>IF($E13="SCE",VLOOKUP($BB13,'[1]ESAF_&amp;_PDAF_Summary'!$B$4:$D$18,3,0),1)</f>
        <v>1</v>
      </c>
      <c r="AS13" s="113">
        <f>IF($E13="SCE",VLOOKUP($BB13,'[1]ESAF_&amp;_PDAF_Summary'!$B$4:$E$18,4,0),1)</f>
        <v>1</v>
      </c>
      <c r="AT13" s="93" t="str">
        <f t="shared" si="1"/>
        <v>N/A</v>
      </c>
      <c r="AU13" s="93" t="str">
        <f t="shared" si="2"/>
        <v>N/A</v>
      </c>
      <c r="AV13" s="93">
        <v>0</v>
      </c>
      <c r="AW13" s="93">
        <f t="shared" si="6"/>
        <v>2004.4228000000001</v>
      </c>
      <c r="AX13" s="93">
        <f t="shared" si="3"/>
        <v>707.80439999999987</v>
      </c>
      <c r="AY13" s="96">
        <f t="shared" si="4"/>
        <v>587.08298944936382</v>
      </c>
      <c r="AZ13" s="98">
        <f>IF($E13="PGE",($AZ$4*$L13)+'[1]Water Costs'!I$16,"N/A")</f>
        <v>2591.5057894493639</v>
      </c>
      <c r="BA13" s="93">
        <f t="shared" si="5"/>
        <v>472.13</v>
      </c>
      <c r="BB13" s="93">
        <f t="shared" si="0"/>
        <v>13</v>
      </c>
    </row>
    <row r="14" spans="1:57" x14ac:dyDescent="0.35">
      <c r="A14" s="93" t="s">
        <v>139</v>
      </c>
      <c r="B14" s="93" t="s">
        <v>140</v>
      </c>
      <c r="C14" s="93" t="s">
        <v>141</v>
      </c>
      <c r="D14" s="111">
        <v>40944</v>
      </c>
      <c r="E14" s="93" t="s">
        <v>33</v>
      </c>
      <c r="F14" s="93" t="s">
        <v>142</v>
      </c>
      <c r="G14" s="93" t="s">
        <v>143</v>
      </c>
      <c r="H14" s="93" t="s">
        <v>144</v>
      </c>
      <c r="I14" s="93" t="s">
        <v>170</v>
      </c>
      <c r="J14" s="102" t="str">
        <f t="shared" si="7"/>
        <v>DMoCZ16</v>
      </c>
      <c r="K14" s="93" t="s">
        <v>146</v>
      </c>
      <c r="L14" s="93">
        <v>1.24</v>
      </c>
      <c r="M14" s="93">
        <v>1240</v>
      </c>
      <c r="N14" s="93" t="s">
        <v>147</v>
      </c>
      <c r="O14" s="93">
        <v>0</v>
      </c>
      <c r="P14" s="93">
        <v>0</v>
      </c>
      <c r="Q14" s="93">
        <v>0</v>
      </c>
      <c r="R14" s="93">
        <v>257</v>
      </c>
      <c r="S14" s="93">
        <v>3.07</v>
      </c>
      <c r="T14" s="93">
        <v>-167</v>
      </c>
      <c r="U14" s="93">
        <v>0</v>
      </c>
      <c r="V14" s="93">
        <v>0</v>
      </c>
      <c r="W14" s="93">
        <v>0</v>
      </c>
      <c r="X14" s="93">
        <v>2.74</v>
      </c>
      <c r="Y14" s="93">
        <v>1.41</v>
      </c>
      <c r="Z14" s="93">
        <v>-168</v>
      </c>
      <c r="AC14" s="93">
        <v>2</v>
      </c>
      <c r="AD14" s="93" t="s">
        <v>148</v>
      </c>
      <c r="AE14" s="93" t="s">
        <v>149</v>
      </c>
      <c r="AF14" s="93" t="s">
        <v>171</v>
      </c>
      <c r="AG14" s="93" t="s">
        <v>151</v>
      </c>
      <c r="AH14" s="93" t="s">
        <v>139</v>
      </c>
      <c r="AI14" s="93" t="s">
        <v>147</v>
      </c>
      <c r="AJ14" s="93" t="s">
        <v>37</v>
      </c>
      <c r="AK14" s="93" t="s">
        <v>152</v>
      </c>
      <c r="AM14" s="93" t="s">
        <v>37</v>
      </c>
      <c r="AN14" s="93" t="s">
        <v>153</v>
      </c>
      <c r="AO14" s="93" t="s">
        <v>154</v>
      </c>
      <c r="AP14" s="93" t="s">
        <v>155</v>
      </c>
      <c r="AQ14" s="113">
        <f>IF($E14="SCE",VLOOKUP($BB14,'[1]ESAF_&amp;_PDAF_Summary'!$B$4:$D$18,2,0),1)</f>
        <v>1</v>
      </c>
      <c r="AR14" s="113">
        <f>IF($E14="SCE",VLOOKUP($BB14,'[1]ESAF_&amp;_PDAF_Summary'!$B$4:$D$18,3,0),1)</f>
        <v>1</v>
      </c>
      <c r="AS14" s="113">
        <f>IF($E14="SCE",VLOOKUP($BB14,'[1]ESAF_&amp;_PDAF_Summary'!$B$4:$E$18,4,0),1)</f>
        <v>1</v>
      </c>
      <c r="AT14" s="93" t="str">
        <f t="shared" si="1"/>
        <v>N/A</v>
      </c>
      <c r="AU14" s="93" t="str">
        <f t="shared" si="2"/>
        <v>N/A</v>
      </c>
      <c r="AV14" s="93">
        <v>0</v>
      </c>
      <c r="AW14" s="93">
        <f t="shared" si="6"/>
        <v>2004.4228000000001</v>
      </c>
      <c r="AX14" s="93">
        <f t="shared" si="3"/>
        <v>707.80439999999987</v>
      </c>
      <c r="AY14" s="96">
        <f t="shared" si="4"/>
        <v>587.08298944936382</v>
      </c>
      <c r="AZ14" s="98">
        <f>IF($E14="PGE",($AZ$4*$L14)+'[1]Water Costs'!I$16,"N/A")</f>
        <v>2591.5057894493639</v>
      </c>
      <c r="BA14" s="93">
        <f t="shared" si="5"/>
        <v>472.13</v>
      </c>
      <c r="BB14" s="93">
        <f t="shared" si="0"/>
        <v>16</v>
      </c>
    </row>
    <row r="15" spans="1:57" x14ac:dyDescent="0.35">
      <c r="A15" s="93" t="s">
        <v>139</v>
      </c>
      <c r="B15" s="93" t="s">
        <v>140</v>
      </c>
      <c r="C15" s="93" t="s">
        <v>141</v>
      </c>
      <c r="D15" s="111">
        <v>40944</v>
      </c>
      <c r="E15" s="93" t="s">
        <v>33</v>
      </c>
      <c r="F15" s="93" t="s">
        <v>172</v>
      </c>
      <c r="G15" s="93" t="s">
        <v>143</v>
      </c>
      <c r="H15" s="93" t="s">
        <v>144</v>
      </c>
      <c r="I15" s="93" t="s">
        <v>145</v>
      </c>
      <c r="J15" s="102" t="str">
        <f t="shared" si="7"/>
        <v>MFmCZ01</v>
      </c>
      <c r="K15" s="93" t="s">
        <v>146</v>
      </c>
      <c r="L15" s="93">
        <v>0.91500000000000004</v>
      </c>
      <c r="M15" s="93">
        <v>915</v>
      </c>
      <c r="N15" s="93" t="s">
        <v>147</v>
      </c>
      <c r="O15" s="93">
        <v>0</v>
      </c>
      <c r="P15" s="93">
        <v>0</v>
      </c>
      <c r="Q15" s="93">
        <v>0</v>
      </c>
      <c r="R15" s="93">
        <v>6.95</v>
      </c>
      <c r="S15" s="93">
        <v>0.48599999999999999</v>
      </c>
      <c r="T15" s="93">
        <v>-12.1</v>
      </c>
      <c r="U15" s="93">
        <v>0</v>
      </c>
      <c r="V15" s="93">
        <v>0</v>
      </c>
      <c r="W15" s="93">
        <v>0</v>
      </c>
      <c r="X15" s="93">
        <v>0.61899999999999999</v>
      </c>
      <c r="Y15" s="93">
        <v>0.29699999999999999</v>
      </c>
      <c r="Z15" s="93">
        <v>-12.6</v>
      </c>
      <c r="AC15" s="93">
        <v>2</v>
      </c>
      <c r="AD15" s="93" t="s">
        <v>173</v>
      </c>
      <c r="AE15" s="93" t="s">
        <v>149</v>
      </c>
      <c r="AF15" s="93" t="s">
        <v>150</v>
      </c>
      <c r="AG15" s="93" t="s">
        <v>151</v>
      </c>
      <c r="AH15" s="93" t="s">
        <v>139</v>
      </c>
      <c r="AI15" s="93" t="s">
        <v>147</v>
      </c>
      <c r="AJ15" s="93" t="s">
        <v>37</v>
      </c>
      <c r="AK15" s="93" t="s">
        <v>152</v>
      </c>
      <c r="AM15" s="93" t="s">
        <v>37</v>
      </c>
      <c r="AN15" s="93" t="s">
        <v>153</v>
      </c>
      <c r="AO15" s="93" t="s">
        <v>154</v>
      </c>
      <c r="AP15" s="93" t="s">
        <v>155</v>
      </c>
      <c r="AQ15" s="113">
        <f>IF($E15="SCE",VLOOKUP($BB15,'[1]ESAF_&amp;_PDAF_Summary'!$B$4:$D$18,2,0),1)</f>
        <v>1</v>
      </c>
      <c r="AR15" s="113">
        <f>IF($E15="SCE",VLOOKUP($BB15,'[1]ESAF_&amp;_PDAF_Summary'!$B$4:$D$18,3,0),1)</f>
        <v>1</v>
      </c>
      <c r="AS15" s="113">
        <f>IF($E15="SCE",VLOOKUP($BB15,'[1]ESAF_&amp;_PDAF_Summary'!$B$4:$E$18,4,0),1)</f>
        <v>1</v>
      </c>
      <c r="AT15" s="93" t="str">
        <f t="shared" si="1"/>
        <v>N/A</v>
      </c>
      <c r="AU15" s="93" t="str">
        <f t="shared" si="2"/>
        <v>N/A</v>
      </c>
      <c r="AV15" s="93">
        <v>0</v>
      </c>
      <c r="AW15" s="93">
        <f t="shared" si="6"/>
        <v>1479.07005</v>
      </c>
      <c r="AX15" s="93">
        <f t="shared" si="3"/>
        <v>522.29115000000002</v>
      </c>
      <c r="AY15" s="96">
        <f t="shared" si="4"/>
        <v>450.16796444936358</v>
      </c>
      <c r="AZ15" s="98">
        <f>IF($E15="PGE",($AZ$4*$L15)+'[1]Water Costs'!I$16,"N/A")</f>
        <v>1929.2380144493636</v>
      </c>
      <c r="BA15" s="93">
        <f t="shared" si="5"/>
        <v>348.38625000000002</v>
      </c>
      <c r="BB15" s="93">
        <f t="shared" si="0"/>
        <v>1</v>
      </c>
    </row>
    <row r="16" spans="1:57" x14ac:dyDescent="0.35">
      <c r="A16" s="93" t="s">
        <v>139</v>
      </c>
      <c r="B16" s="93" t="s">
        <v>140</v>
      </c>
      <c r="C16" s="93" t="s">
        <v>141</v>
      </c>
      <c r="D16" s="111">
        <v>40944</v>
      </c>
      <c r="E16" s="93" t="s">
        <v>33</v>
      </c>
      <c r="F16" s="93" t="s">
        <v>172</v>
      </c>
      <c r="G16" s="93" t="s">
        <v>143</v>
      </c>
      <c r="H16" s="93" t="s">
        <v>144</v>
      </c>
      <c r="I16" s="93" t="s">
        <v>156</v>
      </c>
      <c r="J16" s="102" t="str">
        <f t="shared" si="7"/>
        <v>MFmCZ02</v>
      </c>
      <c r="K16" s="93" t="s">
        <v>146</v>
      </c>
      <c r="L16" s="93">
        <v>0.95699999999999996</v>
      </c>
      <c r="M16" s="93">
        <v>957</v>
      </c>
      <c r="N16" s="93" t="s">
        <v>147</v>
      </c>
      <c r="O16" s="93">
        <v>0</v>
      </c>
      <c r="P16" s="93">
        <v>0</v>
      </c>
      <c r="Q16" s="93">
        <v>0</v>
      </c>
      <c r="R16" s="93">
        <v>402</v>
      </c>
      <c r="S16" s="93">
        <v>1.01</v>
      </c>
      <c r="T16" s="93">
        <v>-12.1</v>
      </c>
      <c r="U16" s="93">
        <v>0</v>
      </c>
      <c r="V16" s="93">
        <v>0</v>
      </c>
      <c r="W16" s="93">
        <v>0</v>
      </c>
      <c r="X16" s="93">
        <v>231</v>
      </c>
      <c r="Y16" s="93">
        <v>0.64700000000000002</v>
      </c>
      <c r="Z16" s="93">
        <v>-12.5</v>
      </c>
      <c r="AC16" s="93">
        <v>2</v>
      </c>
      <c r="AD16" s="93" t="s">
        <v>173</v>
      </c>
      <c r="AE16" s="93" t="s">
        <v>149</v>
      </c>
      <c r="AF16" s="93" t="s">
        <v>157</v>
      </c>
      <c r="AG16" s="93" t="s">
        <v>151</v>
      </c>
      <c r="AH16" s="93" t="s">
        <v>139</v>
      </c>
      <c r="AI16" s="93" t="s">
        <v>147</v>
      </c>
      <c r="AJ16" s="93" t="s">
        <v>37</v>
      </c>
      <c r="AK16" s="93" t="s">
        <v>152</v>
      </c>
      <c r="AM16" s="93" t="s">
        <v>37</v>
      </c>
      <c r="AN16" s="93" t="s">
        <v>153</v>
      </c>
      <c r="AO16" s="93" t="s">
        <v>154</v>
      </c>
      <c r="AP16" s="93" t="s">
        <v>155</v>
      </c>
      <c r="AQ16" s="113">
        <f>IF($E16="SCE",VLOOKUP($BB16,'[1]ESAF_&amp;_PDAF_Summary'!$B$4:$D$18,2,0),1)</f>
        <v>1</v>
      </c>
      <c r="AR16" s="113">
        <f>IF($E16="SCE",VLOOKUP($BB16,'[1]ESAF_&amp;_PDAF_Summary'!$B$4:$D$18,3,0),1)</f>
        <v>1</v>
      </c>
      <c r="AS16" s="113">
        <f>IF($E16="SCE",VLOOKUP($BB16,'[1]ESAF_&amp;_PDAF_Summary'!$B$4:$E$18,4,0),1)</f>
        <v>1</v>
      </c>
      <c r="AT16" s="93" t="str">
        <f t="shared" si="1"/>
        <v>N/A</v>
      </c>
      <c r="AU16" s="93" t="str">
        <f t="shared" si="2"/>
        <v>N/A</v>
      </c>
      <c r="AV16" s="93">
        <v>0</v>
      </c>
      <c r="AW16" s="93">
        <f t="shared" si="6"/>
        <v>1546.9617900000001</v>
      </c>
      <c r="AX16" s="93">
        <f t="shared" si="3"/>
        <v>546.2651699999999</v>
      </c>
      <c r="AY16" s="96">
        <f t="shared" si="4"/>
        <v>467.86159844936333</v>
      </c>
      <c r="AZ16" s="98">
        <f>IF($E16="PGE",($AZ$4*$L16)+'[1]Water Costs'!I$16,"N/A")</f>
        <v>2014.8233884493634</v>
      </c>
      <c r="BA16" s="93">
        <f t="shared" si="5"/>
        <v>364.37774999999999</v>
      </c>
      <c r="BB16" s="93">
        <f t="shared" si="0"/>
        <v>2</v>
      </c>
    </row>
    <row r="17" spans="1:56" x14ac:dyDescent="0.35">
      <c r="A17" s="93" t="s">
        <v>139</v>
      </c>
      <c r="B17" s="93" t="s">
        <v>140</v>
      </c>
      <c r="C17" s="93" t="s">
        <v>141</v>
      </c>
      <c r="D17" s="111">
        <v>40944</v>
      </c>
      <c r="E17" s="93" t="s">
        <v>33</v>
      </c>
      <c r="F17" s="93" t="s">
        <v>172</v>
      </c>
      <c r="G17" s="93" t="s">
        <v>143</v>
      </c>
      <c r="H17" s="93" t="s">
        <v>144</v>
      </c>
      <c r="I17" s="93" t="s">
        <v>158</v>
      </c>
      <c r="J17" s="102" t="str">
        <f t="shared" si="7"/>
        <v>MFmCZ03</v>
      </c>
      <c r="K17" s="93" t="s">
        <v>146</v>
      </c>
      <c r="L17" s="93">
        <v>0.95499999999999996</v>
      </c>
      <c r="M17" s="93">
        <v>955</v>
      </c>
      <c r="N17" s="93" t="s">
        <v>147</v>
      </c>
      <c r="O17" s="93">
        <v>0</v>
      </c>
      <c r="P17" s="93">
        <v>0</v>
      </c>
      <c r="Q17" s="93">
        <v>0</v>
      </c>
      <c r="R17" s="93">
        <v>105</v>
      </c>
      <c r="S17" s="93">
        <v>0.91700000000000004</v>
      </c>
      <c r="T17" s="93">
        <v>-13.8</v>
      </c>
      <c r="U17" s="93">
        <v>0</v>
      </c>
      <c r="V17" s="93">
        <v>0</v>
      </c>
      <c r="W17" s="93">
        <v>0</v>
      </c>
      <c r="X17" s="93">
        <v>51.5</v>
      </c>
      <c r="Y17" s="93">
        <v>0.53200000000000003</v>
      </c>
      <c r="Z17" s="93">
        <v>-14.4</v>
      </c>
      <c r="AC17" s="93">
        <v>2</v>
      </c>
      <c r="AD17" s="93" t="s">
        <v>173</v>
      </c>
      <c r="AE17" s="93" t="s">
        <v>149</v>
      </c>
      <c r="AF17" s="93" t="s">
        <v>159</v>
      </c>
      <c r="AG17" s="93" t="s">
        <v>151</v>
      </c>
      <c r="AH17" s="93" t="s">
        <v>139</v>
      </c>
      <c r="AI17" s="93" t="s">
        <v>147</v>
      </c>
      <c r="AJ17" s="93" t="s">
        <v>37</v>
      </c>
      <c r="AK17" s="93" t="s">
        <v>152</v>
      </c>
      <c r="AM17" s="93" t="s">
        <v>37</v>
      </c>
      <c r="AN17" s="93" t="s">
        <v>153</v>
      </c>
      <c r="AO17" s="93" t="s">
        <v>154</v>
      </c>
      <c r="AP17" s="93" t="s">
        <v>155</v>
      </c>
      <c r="AQ17" s="113">
        <f>IF($E17="SCE",VLOOKUP($BB17,'[1]ESAF_&amp;_PDAF_Summary'!$B$4:$D$18,2,0),1)</f>
        <v>1</v>
      </c>
      <c r="AR17" s="113">
        <f>IF($E17="SCE",VLOOKUP($BB17,'[1]ESAF_&amp;_PDAF_Summary'!$B$4:$D$18,3,0),1)</f>
        <v>1</v>
      </c>
      <c r="AS17" s="113">
        <f>IF($E17="SCE",VLOOKUP($BB17,'[1]ESAF_&amp;_PDAF_Summary'!$B$4:$E$18,4,0),1)</f>
        <v>1</v>
      </c>
      <c r="AT17" s="93" t="str">
        <f t="shared" si="1"/>
        <v>N/A</v>
      </c>
      <c r="AU17" s="93" t="str">
        <f t="shared" si="2"/>
        <v>N/A</v>
      </c>
      <c r="AV17" s="93">
        <v>0</v>
      </c>
      <c r="AW17" s="93">
        <f t="shared" si="6"/>
        <v>1543.72885</v>
      </c>
      <c r="AX17" s="93">
        <f t="shared" si="3"/>
        <v>545.12354999999991</v>
      </c>
      <c r="AY17" s="96">
        <f t="shared" si="4"/>
        <v>467.01904444936349</v>
      </c>
      <c r="AZ17" s="98">
        <f>IF($E17="PGE",($AZ$4*$L17)+'[1]Water Costs'!I$16,"N/A")</f>
        <v>2010.7478944493635</v>
      </c>
      <c r="BA17" s="93">
        <f t="shared" si="5"/>
        <v>363.61624999999998</v>
      </c>
      <c r="BB17" s="93">
        <f t="shared" si="0"/>
        <v>3</v>
      </c>
    </row>
    <row r="18" spans="1:56" x14ac:dyDescent="0.35">
      <c r="A18" s="93" t="s">
        <v>139</v>
      </c>
      <c r="B18" s="93" t="s">
        <v>140</v>
      </c>
      <c r="C18" s="93" t="s">
        <v>141</v>
      </c>
      <c r="D18" s="111">
        <v>40944</v>
      </c>
      <c r="E18" s="93" t="s">
        <v>33</v>
      </c>
      <c r="F18" s="93" t="s">
        <v>172</v>
      </c>
      <c r="G18" s="93" t="s">
        <v>143</v>
      </c>
      <c r="H18" s="93" t="s">
        <v>144</v>
      </c>
      <c r="I18" s="93" t="s">
        <v>160</v>
      </c>
      <c r="J18" s="102" t="str">
        <f t="shared" si="7"/>
        <v>MFmCZ04</v>
      </c>
      <c r="K18" s="93" t="s">
        <v>146</v>
      </c>
      <c r="L18" s="93">
        <v>0.96099999999999997</v>
      </c>
      <c r="M18" s="93">
        <v>961</v>
      </c>
      <c r="N18" s="93" t="s">
        <v>147</v>
      </c>
      <c r="O18" s="93">
        <v>0</v>
      </c>
      <c r="P18" s="93">
        <v>0</v>
      </c>
      <c r="Q18" s="93">
        <v>0</v>
      </c>
      <c r="R18" s="93">
        <v>285</v>
      </c>
      <c r="S18" s="93">
        <v>0.77300000000000002</v>
      </c>
      <c r="T18" s="93">
        <v>-11.9</v>
      </c>
      <c r="U18" s="93">
        <v>0</v>
      </c>
      <c r="V18" s="93">
        <v>0</v>
      </c>
      <c r="W18" s="93">
        <v>0</v>
      </c>
      <c r="X18" s="93">
        <v>138</v>
      </c>
      <c r="Y18" s="93">
        <v>0.51</v>
      </c>
      <c r="Z18" s="93">
        <v>-12.4</v>
      </c>
      <c r="AC18" s="93">
        <v>2</v>
      </c>
      <c r="AD18" s="93" t="s">
        <v>173</v>
      </c>
      <c r="AE18" s="93" t="s">
        <v>149</v>
      </c>
      <c r="AF18" s="93" t="s">
        <v>161</v>
      </c>
      <c r="AG18" s="93" t="s">
        <v>151</v>
      </c>
      <c r="AH18" s="93" t="s">
        <v>139</v>
      </c>
      <c r="AI18" s="93" t="s">
        <v>147</v>
      </c>
      <c r="AJ18" s="93" t="s">
        <v>37</v>
      </c>
      <c r="AK18" s="93" t="s">
        <v>152</v>
      </c>
      <c r="AM18" s="93" t="s">
        <v>37</v>
      </c>
      <c r="AN18" s="93" t="s">
        <v>153</v>
      </c>
      <c r="AO18" s="93" t="s">
        <v>154</v>
      </c>
      <c r="AP18" s="93" t="s">
        <v>155</v>
      </c>
      <c r="AQ18" s="113">
        <f>IF($E18="SCE",VLOOKUP($BB18,'[1]ESAF_&amp;_PDAF_Summary'!$B$4:$D$18,2,0),1)</f>
        <v>1</v>
      </c>
      <c r="AR18" s="113">
        <f>IF($E18="SCE",VLOOKUP($BB18,'[1]ESAF_&amp;_PDAF_Summary'!$B$4:$D$18,3,0),1)</f>
        <v>1</v>
      </c>
      <c r="AS18" s="113">
        <f>IF($E18="SCE",VLOOKUP($BB18,'[1]ESAF_&amp;_PDAF_Summary'!$B$4:$E$18,4,0),1)</f>
        <v>1</v>
      </c>
      <c r="AT18" s="93" t="str">
        <f t="shared" si="1"/>
        <v>N/A</v>
      </c>
      <c r="AU18" s="93" t="str">
        <f t="shared" si="2"/>
        <v>N/A</v>
      </c>
      <c r="AV18" s="93">
        <v>0</v>
      </c>
      <c r="AW18" s="93">
        <f t="shared" si="6"/>
        <v>1553.42767</v>
      </c>
      <c r="AX18" s="93">
        <f t="shared" si="3"/>
        <v>548.54840999999988</v>
      </c>
      <c r="AY18" s="96">
        <f t="shared" si="4"/>
        <v>469.54670644936346</v>
      </c>
      <c r="AZ18" s="98">
        <f>IF($E18="PGE",($AZ$4*$L18)+'[1]Water Costs'!I$16,"N/A")</f>
        <v>2022.9743764493635</v>
      </c>
      <c r="BA18" s="93">
        <f t="shared" si="5"/>
        <v>365.90074999999996</v>
      </c>
      <c r="BB18" s="93">
        <f t="shared" si="0"/>
        <v>4</v>
      </c>
    </row>
    <row r="19" spans="1:56" x14ac:dyDescent="0.35">
      <c r="A19" s="93" t="s">
        <v>139</v>
      </c>
      <c r="B19" s="93" t="s">
        <v>140</v>
      </c>
      <c r="C19" s="93" t="s">
        <v>141</v>
      </c>
      <c r="D19" s="111">
        <v>40944</v>
      </c>
      <c r="E19" s="93" t="s">
        <v>33</v>
      </c>
      <c r="F19" s="93" t="s">
        <v>172</v>
      </c>
      <c r="G19" s="93" t="s">
        <v>143</v>
      </c>
      <c r="H19" s="93" t="s">
        <v>144</v>
      </c>
      <c r="I19" s="93" t="s">
        <v>162</v>
      </c>
      <c r="J19" s="102" t="str">
        <f t="shared" si="7"/>
        <v>MFmCZ05</v>
      </c>
      <c r="K19" s="93" t="s">
        <v>146</v>
      </c>
      <c r="L19" s="93">
        <v>0.93500000000000005</v>
      </c>
      <c r="M19" s="93">
        <v>935</v>
      </c>
      <c r="N19" s="93" t="s">
        <v>147</v>
      </c>
      <c r="O19" s="93">
        <v>0</v>
      </c>
      <c r="P19" s="93">
        <v>0</v>
      </c>
      <c r="Q19" s="93">
        <v>0</v>
      </c>
      <c r="R19" s="93">
        <v>135</v>
      </c>
      <c r="S19" s="93">
        <v>1.08</v>
      </c>
      <c r="T19" s="93">
        <v>-10.199999999999999</v>
      </c>
      <c r="U19" s="93">
        <v>0</v>
      </c>
      <c r="V19" s="93">
        <v>0</v>
      </c>
      <c r="W19" s="93">
        <v>0</v>
      </c>
      <c r="X19" s="93">
        <v>71.900000000000006</v>
      </c>
      <c r="Y19" s="93">
        <v>0.68799999999999994</v>
      </c>
      <c r="Z19" s="93">
        <v>-10.7</v>
      </c>
      <c r="AC19" s="93">
        <v>2</v>
      </c>
      <c r="AD19" s="93" t="s">
        <v>173</v>
      </c>
      <c r="AE19" s="93" t="s">
        <v>149</v>
      </c>
      <c r="AF19" s="93" t="s">
        <v>163</v>
      </c>
      <c r="AG19" s="93" t="s">
        <v>151</v>
      </c>
      <c r="AH19" s="93" t="s">
        <v>139</v>
      </c>
      <c r="AI19" s="93" t="s">
        <v>147</v>
      </c>
      <c r="AJ19" s="93" t="s">
        <v>37</v>
      </c>
      <c r="AK19" s="93" t="s">
        <v>152</v>
      </c>
      <c r="AM19" s="93" t="s">
        <v>37</v>
      </c>
      <c r="AN19" s="93" t="s">
        <v>153</v>
      </c>
      <c r="AO19" s="93" t="s">
        <v>154</v>
      </c>
      <c r="AP19" s="93" t="s">
        <v>155</v>
      </c>
      <c r="AQ19" s="113">
        <f>IF($E19="SCE",VLOOKUP($BB19,'[1]ESAF_&amp;_PDAF_Summary'!$B$4:$D$18,2,0),1)</f>
        <v>1</v>
      </c>
      <c r="AR19" s="113">
        <f>IF($E19="SCE",VLOOKUP($BB19,'[1]ESAF_&amp;_PDAF_Summary'!$B$4:$D$18,3,0),1)</f>
        <v>1</v>
      </c>
      <c r="AS19" s="113">
        <f>IF($E19="SCE",VLOOKUP($BB19,'[1]ESAF_&amp;_PDAF_Summary'!$B$4:$E$18,4,0),1)</f>
        <v>1</v>
      </c>
      <c r="AT19" s="93" t="str">
        <f>IF(AND($E19="PGE",$F19="MFm",OR($I19="CZ11",$I19="CZ12",$I19="CZ13")),X19*$AQ19*$AS19*$L19,IF($E19="SCE",R19*$AQ19*$AS19,"N/A"))</f>
        <v>N/A</v>
      </c>
      <c r="AU19" s="93" t="str">
        <f t="shared" si="2"/>
        <v>N/A</v>
      </c>
      <c r="AV19" s="93">
        <v>0</v>
      </c>
      <c r="AW19" s="93">
        <f t="shared" si="6"/>
        <v>1511.3994500000001</v>
      </c>
      <c r="AX19" s="93">
        <f t="shared" si="3"/>
        <v>533.70735000000002</v>
      </c>
      <c r="AY19" s="96">
        <f t="shared" si="4"/>
        <v>458.59350444936354</v>
      </c>
      <c r="AZ19" s="98">
        <f>IF($E19="PGE",($AZ$4*$L19)+'[1]Water Costs'!I$16,"N/A")</f>
        <v>1969.9929544493637</v>
      </c>
      <c r="BA19" s="93">
        <f t="shared" si="5"/>
        <v>356.00125000000003</v>
      </c>
      <c r="BB19" s="93">
        <f t="shared" si="0"/>
        <v>5</v>
      </c>
      <c r="BD19" s="96"/>
    </row>
    <row r="20" spans="1:56" x14ac:dyDescent="0.35">
      <c r="A20" s="93" t="s">
        <v>139</v>
      </c>
      <c r="B20" s="93" t="s">
        <v>140</v>
      </c>
      <c r="C20" s="93" t="s">
        <v>141</v>
      </c>
      <c r="D20" s="111">
        <v>40944</v>
      </c>
      <c r="E20" s="93" t="s">
        <v>33</v>
      </c>
      <c r="F20" s="93" t="s">
        <v>172</v>
      </c>
      <c r="G20" s="93" t="s">
        <v>143</v>
      </c>
      <c r="H20" s="93" t="s">
        <v>144</v>
      </c>
      <c r="I20" s="93" t="s">
        <v>164</v>
      </c>
      <c r="J20" s="102" t="str">
        <f t="shared" si="7"/>
        <v>MFmCZ11</v>
      </c>
      <c r="K20" s="93" t="s">
        <v>146</v>
      </c>
      <c r="L20" s="93">
        <v>0.998</v>
      </c>
      <c r="M20" s="93">
        <v>998</v>
      </c>
      <c r="N20" s="93" t="s">
        <v>147</v>
      </c>
      <c r="O20" s="93">
        <v>0</v>
      </c>
      <c r="P20" s="93">
        <v>0</v>
      </c>
      <c r="Q20" s="93">
        <v>0</v>
      </c>
      <c r="R20" s="93">
        <v>771</v>
      </c>
      <c r="S20" s="93">
        <v>1.32</v>
      </c>
      <c r="T20" s="93">
        <v>-16.899999999999999</v>
      </c>
      <c r="U20" s="93">
        <v>0</v>
      </c>
      <c r="V20" s="93">
        <v>0</v>
      </c>
      <c r="W20" s="93">
        <v>0</v>
      </c>
      <c r="X20" s="93">
        <v>458</v>
      </c>
      <c r="Y20" s="93">
        <v>0.84099999999999997</v>
      </c>
      <c r="Z20" s="93">
        <v>-17.399999999999999</v>
      </c>
      <c r="AC20" s="93">
        <v>2</v>
      </c>
      <c r="AD20" s="93" t="s">
        <v>173</v>
      </c>
      <c r="AE20" s="93" t="s">
        <v>149</v>
      </c>
      <c r="AF20" s="93" t="s">
        <v>165</v>
      </c>
      <c r="AG20" s="93" t="s">
        <v>151</v>
      </c>
      <c r="AH20" s="93" t="s">
        <v>139</v>
      </c>
      <c r="AI20" s="93" t="s">
        <v>147</v>
      </c>
      <c r="AJ20" s="93" t="s">
        <v>37</v>
      </c>
      <c r="AK20" s="93" t="s">
        <v>152</v>
      </c>
      <c r="AM20" s="93" t="s">
        <v>37</v>
      </c>
      <c r="AN20" s="93" t="s">
        <v>153</v>
      </c>
      <c r="AO20" s="93" t="s">
        <v>154</v>
      </c>
      <c r="AP20" s="93" t="s">
        <v>155</v>
      </c>
      <c r="AQ20" s="113">
        <f>IF($E20="SCE",VLOOKUP($BB20,'[1]ESAF_&amp;_PDAF_Summary'!$B$4:$D$18,2,0),1)</f>
        <v>1</v>
      </c>
      <c r="AR20" s="113">
        <f>IF($E20="SCE",VLOOKUP($BB20,'[1]ESAF_&amp;_PDAF_Summary'!$B$4:$D$18,3,0),1)</f>
        <v>1</v>
      </c>
      <c r="AS20" s="113">
        <f>IF($E20="SCE",VLOOKUP($BB20,'[1]ESAF_&amp;_PDAF_Summary'!$B$4:$E$18,4,0),1)</f>
        <v>1</v>
      </c>
      <c r="AT20" s="93">
        <f t="shared" si="1"/>
        <v>457.084</v>
      </c>
      <c r="AU20" s="93">
        <f t="shared" si="2"/>
        <v>0.83931800000000001</v>
      </c>
      <c r="AV20" s="93">
        <v>0</v>
      </c>
      <c r="AW20" s="93">
        <f t="shared" si="6"/>
        <v>1613.2370599999999</v>
      </c>
      <c r="AX20" s="93">
        <f t="shared" si="3"/>
        <v>569.66837999999996</v>
      </c>
      <c r="AY20" s="96">
        <f t="shared" si="4"/>
        <v>485.13395544936384</v>
      </c>
      <c r="AZ20" s="98">
        <f>IF($E20="PGE",($AZ$4*$L20)+'[1]Water Costs'!I$16,"N/A")</f>
        <v>2098.3710154493638</v>
      </c>
      <c r="BA20" s="93">
        <f t="shared" si="5"/>
        <v>379.98849999999999</v>
      </c>
      <c r="BB20" s="93">
        <f t="shared" si="0"/>
        <v>11</v>
      </c>
      <c r="BD20" s="96"/>
    </row>
    <row r="21" spans="1:56" x14ac:dyDescent="0.35">
      <c r="A21" s="93" t="s">
        <v>139</v>
      </c>
      <c r="B21" s="93" t="s">
        <v>140</v>
      </c>
      <c r="C21" s="93" t="s">
        <v>141</v>
      </c>
      <c r="D21" s="111">
        <v>40944</v>
      </c>
      <c r="E21" s="93" t="s">
        <v>33</v>
      </c>
      <c r="F21" s="93" t="s">
        <v>172</v>
      </c>
      <c r="G21" s="93" t="s">
        <v>143</v>
      </c>
      <c r="H21" s="93" t="s">
        <v>144</v>
      </c>
      <c r="I21" s="93" t="s">
        <v>166</v>
      </c>
      <c r="J21" s="102" t="str">
        <f t="shared" si="7"/>
        <v>MFmCZ12</v>
      </c>
      <c r="K21" s="93" t="s">
        <v>146</v>
      </c>
      <c r="L21" s="93">
        <v>0.99199999999999999</v>
      </c>
      <c r="M21" s="93">
        <v>992</v>
      </c>
      <c r="N21" s="93" t="s">
        <v>147</v>
      </c>
      <c r="O21" s="93">
        <v>0</v>
      </c>
      <c r="P21" s="93">
        <v>0</v>
      </c>
      <c r="Q21" s="93">
        <v>0</v>
      </c>
      <c r="R21" s="93">
        <v>538</v>
      </c>
      <c r="S21" s="93">
        <v>1.0900000000000001</v>
      </c>
      <c r="T21" s="93">
        <v>-13.7</v>
      </c>
      <c r="U21" s="93">
        <v>0</v>
      </c>
      <c r="V21" s="93">
        <v>0</v>
      </c>
      <c r="W21" s="93">
        <v>0</v>
      </c>
      <c r="X21" s="93">
        <v>304</v>
      </c>
      <c r="Y21" s="93">
        <v>0.73099999999999998</v>
      </c>
      <c r="Z21" s="93">
        <v>-14.1</v>
      </c>
      <c r="AC21" s="93">
        <v>2</v>
      </c>
      <c r="AD21" s="93" t="s">
        <v>173</v>
      </c>
      <c r="AE21" s="93" t="s">
        <v>149</v>
      </c>
      <c r="AF21" s="93" t="s">
        <v>167</v>
      </c>
      <c r="AG21" s="93" t="s">
        <v>151</v>
      </c>
      <c r="AH21" s="93" t="s">
        <v>139</v>
      </c>
      <c r="AI21" s="93" t="s">
        <v>147</v>
      </c>
      <c r="AJ21" s="93" t="s">
        <v>37</v>
      </c>
      <c r="AK21" s="93" t="s">
        <v>152</v>
      </c>
      <c r="AM21" s="93" t="s">
        <v>37</v>
      </c>
      <c r="AN21" s="93" t="s">
        <v>153</v>
      </c>
      <c r="AO21" s="93" t="s">
        <v>154</v>
      </c>
      <c r="AP21" s="93" t="s">
        <v>155</v>
      </c>
      <c r="AQ21" s="113">
        <f>IF($E21="SCE",VLOOKUP($BB21,'[1]ESAF_&amp;_PDAF_Summary'!$B$4:$D$18,2,0),1)</f>
        <v>1</v>
      </c>
      <c r="AR21" s="113">
        <f>IF($E21="SCE",VLOOKUP($BB21,'[1]ESAF_&amp;_PDAF_Summary'!$B$4:$D$18,3,0),1)</f>
        <v>1</v>
      </c>
      <c r="AS21" s="113">
        <f>IF($E21="SCE",VLOOKUP($BB21,'[1]ESAF_&amp;_PDAF_Summary'!$B$4:$E$18,4,0),1)</f>
        <v>1</v>
      </c>
      <c r="AT21" s="93">
        <f t="shared" si="1"/>
        <v>301.56799999999998</v>
      </c>
      <c r="AU21" s="93">
        <f t="shared" si="2"/>
        <v>0.72515200000000002</v>
      </c>
      <c r="AV21" s="93">
        <v>0</v>
      </c>
      <c r="AW21" s="93">
        <f t="shared" si="6"/>
        <v>1603.5382400000001</v>
      </c>
      <c r="AX21" s="93">
        <f t="shared" si="3"/>
        <v>566.24351999999999</v>
      </c>
      <c r="AY21" s="96">
        <f t="shared" si="4"/>
        <v>482.60629344936365</v>
      </c>
      <c r="AZ21" s="98">
        <f>IF($E21="PGE",($AZ$4*$L21)+'[1]Water Costs'!I$16,"N/A")</f>
        <v>2086.1445334493637</v>
      </c>
      <c r="BA21" s="93">
        <f t="shared" si="5"/>
        <v>377.70400000000001</v>
      </c>
      <c r="BB21" s="93">
        <f t="shared" si="0"/>
        <v>12</v>
      </c>
      <c r="BD21" s="96"/>
    </row>
    <row r="22" spans="1:56" x14ac:dyDescent="0.35">
      <c r="A22" s="93" t="s">
        <v>139</v>
      </c>
      <c r="B22" s="93" t="s">
        <v>140</v>
      </c>
      <c r="C22" s="93" t="s">
        <v>141</v>
      </c>
      <c r="D22" s="111">
        <v>40944</v>
      </c>
      <c r="E22" s="93" t="s">
        <v>33</v>
      </c>
      <c r="F22" s="93" t="s">
        <v>172</v>
      </c>
      <c r="G22" s="93" t="s">
        <v>143</v>
      </c>
      <c r="H22" s="93" t="s">
        <v>144</v>
      </c>
      <c r="I22" s="93" t="s">
        <v>168</v>
      </c>
      <c r="J22" s="102" t="str">
        <f t="shared" si="7"/>
        <v>MFmCZ13</v>
      </c>
      <c r="K22" s="93" t="s">
        <v>146</v>
      </c>
      <c r="L22" s="93">
        <v>0.98599999999999999</v>
      </c>
      <c r="M22" s="93">
        <v>986</v>
      </c>
      <c r="N22" s="93" t="s">
        <v>147</v>
      </c>
      <c r="O22" s="93">
        <v>0</v>
      </c>
      <c r="P22" s="93">
        <v>0</v>
      </c>
      <c r="Q22" s="93">
        <v>0</v>
      </c>
      <c r="R22" s="93">
        <v>1050</v>
      </c>
      <c r="S22" s="93">
        <v>1.22</v>
      </c>
      <c r="T22" s="93">
        <v>-17.100000000000001</v>
      </c>
      <c r="U22" s="93">
        <v>0</v>
      </c>
      <c r="V22" s="93">
        <v>0</v>
      </c>
      <c r="W22" s="93">
        <v>0</v>
      </c>
      <c r="X22" s="93">
        <v>591</v>
      </c>
      <c r="Y22" s="93">
        <v>0.78300000000000003</v>
      </c>
      <c r="Z22" s="93">
        <v>-17.600000000000001</v>
      </c>
      <c r="AC22" s="93">
        <v>2</v>
      </c>
      <c r="AD22" s="93" t="s">
        <v>173</v>
      </c>
      <c r="AE22" s="93" t="s">
        <v>149</v>
      </c>
      <c r="AF22" s="93" t="s">
        <v>169</v>
      </c>
      <c r="AG22" s="93" t="s">
        <v>151</v>
      </c>
      <c r="AH22" s="93" t="s">
        <v>139</v>
      </c>
      <c r="AI22" s="93" t="s">
        <v>147</v>
      </c>
      <c r="AJ22" s="93" t="s">
        <v>37</v>
      </c>
      <c r="AK22" s="93" t="s">
        <v>152</v>
      </c>
      <c r="AM22" s="93" t="s">
        <v>37</v>
      </c>
      <c r="AN22" s="93" t="s">
        <v>153</v>
      </c>
      <c r="AO22" s="93" t="s">
        <v>154</v>
      </c>
      <c r="AP22" s="93" t="s">
        <v>155</v>
      </c>
      <c r="AQ22" s="113">
        <f>IF($E22="SCE",VLOOKUP($BB22,'[1]ESAF_&amp;_PDAF_Summary'!$B$4:$D$18,2,0),1)</f>
        <v>1</v>
      </c>
      <c r="AR22" s="113">
        <f>IF($E22="SCE",VLOOKUP($BB22,'[1]ESAF_&amp;_PDAF_Summary'!$B$4:$D$18,3,0),1)</f>
        <v>1</v>
      </c>
      <c r="AS22" s="113">
        <f>IF($E22="SCE",VLOOKUP($BB22,'[1]ESAF_&amp;_PDAF_Summary'!$B$4:$E$18,4,0),1)</f>
        <v>1</v>
      </c>
      <c r="AT22" s="93">
        <f t="shared" si="1"/>
        <v>582.726</v>
      </c>
      <c r="AU22" s="93">
        <f t="shared" si="2"/>
        <v>0.772038</v>
      </c>
      <c r="AV22" s="93">
        <v>0</v>
      </c>
      <c r="AW22" s="93">
        <f t="shared" si="6"/>
        <v>1593.83942</v>
      </c>
      <c r="AX22" s="93">
        <f t="shared" si="3"/>
        <v>562.81865999999991</v>
      </c>
      <c r="AY22" s="96">
        <f t="shared" si="4"/>
        <v>480.07863144936368</v>
      </c>
      <c r="AZ22" s="98">
        <f>IF($E22="PGE",($AZ$4*$L22)+'[1]Water Costs'!I$16,"N/A")</f>
        <v>2073.9180514493637</v>
      </c>
      <c r="BA22" s="93">
        <f t="shared" si="5"/>
        <v>375.41949999999997</v>
      </c>
      <c r="BB22" s="93">
        <f t="shared" si="0"/>
        <v>13</v>
      </c>
    </row>
    <row r="23" spans="1:56" x14ac:dyDescent="0.35">
      <c r="A23" s="93" t="s">
        <v>139</v>
      </c>
      <c r="B23" s="93" t="s">
        <v>140</v>
      </c>
      <c r="C23" s="93" t="s">
        <v>141</v>
      </c>
      <c r="D23" s="111">
        <v>40944</v>
      </c>
      <c r="E23" s="93" t="s">
        <v>33</v>
      </c>
      <c r="F23" s="93" t="s">
        <v>172</v>
      </c>
      <c r="G23" s="93" t="s">
        <v>143</v>
      </c>
      <c r="H23" s="93" t="s">
        <v>144</v>
      </c>
      <c r="I23" s="93" t="s">
        <v>170</v>
      </c>
      <c r="J23" s="102" t="str">
        <f t="shared" si="7"/>
        <v>MFmCZ16</v>
      </c>
      <c r="K23" s="93" t="s">
        <v>146</v>
      </c>
      <c r="L23" s="93">
        <v>1</v>
      </c>
      <c r="M23" s="93">
        <v>1000</v>
      </c>
      <c r="N23" s="93" t="s">
        <v>147</v>
      </c>
      <c r="O23" s="93">
        <v>0</v>
      </c>
      <c r="P23" s="93">
        <v>0</v>
      </c>
      <c r="Q23" s="93">
        <v>0</v>
      </c>
      <c r="R23" s="93">
        <v>258</v>
      </c>
      <c r="S23" s="93">
        <v>1.1299999999999999</v>
      </c>
      <c r="T23" s="93">
        <v>-35.700000000000003</v>
      </c>
      <c r="U23" s="93">
        <v>0</v>
      </c>
      <c r="V23" s="93">
        <v>0</v>
      </c>
      <c r="W23" s="93">
        <v>0</v>
      </c>
      <c r="X23" s="93">
        <v>139</v>
      </c>
      <c r="Y23" s="93">
        <v>0.71599999999999997</v>
      </c>
      <c r="Z23" s="93">
        <v>-36.700000000000003</v>
      </c>
      <c r="AC23" s="93">
        <v>2</v>
      </c>
      <c r="AD23" s="93" t="s">
        <v>173</v>
      </c>
      <c r="AE23" s="93" t="s">
        <v>149</v>
      </c>
      <c r="AF23" s="93" t="s">
        <v>171</v>
      </c>
      <c r="AG23" s="93" t="s">
        <v>151</v>
      </c>
      <c r="AH23" s="93" t="s">
        <v>139</v>
      </c>
      <c r="AI23" s="93" t="s">
        <v>147</v>
      </c>
      <c r="AJ23" s="93" t="s">
        <v>37</v>
      </c>
      <c r="AK23" s="93" t="s">
        <v>152</v>
      </c>
      <c r="AM23" s="93" t="s">
        <v>37</v>
      </c>
      <c r="AN23" s="93" t="s">
        <v>153</v>
      </c>
      <c r="AO23" s="93" t="s">
        <v>154</v>
      </c>
      <c r="AP23" s="93" t="s">
        <v>155</v>
      </c>
      <c r="AQ23" s="113">
        <f>IF($E23="SCE",VLOOKUP($BB23,'[1]ESAF_&amp;_PDAF_Summary'!$B$4:$D$18,2,0),1)</f>
        <v>1</v>
      </c>
      <c r="AR23" s="113">
        <f>IF($E23="SCE",VLOOKUP($BB23,'[1]ESAF_&amp;_PDAF_Summary'!$B$4:$D$18,3,0),1)</f>
        <v>1</v>
      </c>
      <c r="AS23" s="113">
        <f>IF($E23="SCE",VLOOKUP($BB23,'[1]ESAF_&amp;_PDAF_Summary'!$B$4:$E$18,4,0),1)</f>
        <v>1</v>
      </c>
      <c r="AT23" s="93" t="str">
        <f t="shared" si="1"/>
        <v>N/A</v>
      </c>
      <c r="AU23" s="93" t="str">
        <f t="shared" si="2"/>
        <v>N/A</v>
      </c>
      <c r="AV23" s="93">
        <v>0</v>
      </c>
      <c r="AW23" s="93">
        <f t="shared" si="6"/>
        <v>1616.47</v>
      </c>
      <c r="AX23" s="93">
        <f t="shared" si="3"/>
        <v>570.80999999999995</v>
      </c>
      <c r="AY23" s="96">
        <f t="shared" si="4"/>
        <v>485.97650944936345</v>
      </c>
      <c r="AZ23" s="98">
        <f>IF($E23="PGE",($AZ$4*$L23)+'[1]Water Costs'!I$16,"N/A")</f>
        <v>2102.4465094493635</v>
      </c>
      <c r="BA23" s="93">
        <f t="shared" si="5"/>
        <v>380.75</v>
      </c>
      <c r="BB23" s="93">
        <f t="shared" si="0"/>
        <v>16</v>
      </c>
    </row>
    <row r="24" spans="1:56" x14ac:dyDescent="0.35">
      <c r="A24" s="93" t="s">
        <v>139</v>
      </c>
      <c r="B24" s="93" t="s">
        <v>140</v>
      </c>
      <c r="C24" s="93" t="s">
        <v>141</v>
      </c>
      <c r="D24" s="111">
        <v>40944</v>
      </c>
      <c r="E24" s="93" t="s">
        <v>33</v>
      </c>
      <c r="F24" s="93" t="s">
        <v>174</v>
      </c>
      <c r="G24" s="93" t="s">
        <v>143</v>
      </c>
      <c r="H24" s="93" t="s">
        <v>144</v>
      </c>
      <c r="I24" s="93" t="s">
        <v>145</v>
      </c>
      <c r="J24" s="102" t="str">
        <f t="shared" si="7"/>
        <v>SFmCZ01</v>
      </c>
      <c r="K24" s="93" t="s">
        <v>146</v>
      </c>
      <c r="L24" s="93">
        <v>1.93</v>
      </c>
      <c r="M24" s="93">
        <v>1930</v>
      </c>
      <c r="N24" s="93" t="s">
        <v>147</v>
      </c>
      <c r="O24" s="93">
        <v>0</v>
      </c>
      <c r="P24" s="93">
        <v>0</v>
      </c>
      <c r="Q24" s="93">
        <v>0</v>
      </c>
      <c r="R24" s="93">
        <v>-21.1</v>
      </c>
      <c r="S24" s="93">
        <v>0.72499999999999998</v>
      </c>
      <c r="T24" s="93">
        <v>-54.4</v>
      </c>
      <c r="U24" s="93">
        <v>0</v>
      </c>
      <c r="V24" s="93">
        <v>0</v>
      </c>
      <c r="W24" s="93">
        <v>0</v>
      </c>
      <c r="X24" s="93">
        <v>-27.7</v>
      </c>
      <c r="Y24" s="93">
        <v>0.46200000000000002</v>
      </c>
      <c r="Z24" s="93">
        <v>-55.5</v>
      </c>
      <c r="AC24" s="93">
        <v>2</v>
      </c>
      <c r="AD24" s="93" t="s">
        <v>175</v>
      </c>
      <c r="AE24" s="93" t="s">
        <v>149</v>
      </c>
      <c r="AF24" s="93" t="s">
        <v>150</v>
      </c>
      <c r="AG24" s="93" t="s">
        <v>151</v>
      </c>
      <c r="AH24" s="93" t="s">
        <v>139</v>
      </c>
      <c r="AI24" s="93" t="s">
        <v>147</v>
      </c>
      <c r="AJ24" s="93" t="s">
        <v>37</v>
      </c>
      <c r="AK24" s="93" t="s">
        <v>152</v>
      </c>
      <c r="AM24" s="93" t="s">
        <v>37</v>
      </c>
      <c r="AN24" s="93" t="s">
        <v>153</v>
      </c>
      <c r="AO24" s="93" t="s">
        <v>154</v>
      </c>
      <c r="AP24" s="93" t="s">
        <v>155</v>
      </c>
      <c r="AQ24" s="113">
        <f>IF($E24="SCE",VLOOKUP($BB24,'[1]ESAF_&amp;_PDAF_Summary'!$B$4:$D$18,2,0),1)</f>
        <v>1</v>
      </c>
      <c r="AR24" s="113">
        <f>IF($E24="SCE",VLOOKUP($BB24,'[1]ESAF_&amp;_PDAF_Summary'!$B$4:$D$18,3,0),1)</f>
        <v>1</v>
      </c>
      <c r="AS24" s="113">
        <f>IF($E24="SCE",VLOOKUP($BB24,'[1]ESAF_&amp;_PDAF_Summary'!$B$4:$E$18,4,0),1)</f>
        <v>1</v>
      </c>
      <c r="AT24" s="93" t="str">
        <f t="shared" si="1"/>
        <v>N/A</v>
      </c>
      <c r="AU24" s="93" t="str">
        <f t="shared" si="2"/>
        <v>N/A</v>
      </c>
      <c r="AV24" s="93">
        <v>0</v>
      </c>
      <c r="AW24" s="93">
        <f t="shared" si="6"/>
        <v>3119.7871</v>
      </c>
      <c r="AX24" s="93">
        <f t="shared" si="3"/>
        <v>1101.6632999999999</v>
      </c>
      <c r="AY24" s="96">
        <f t="shared" si="4"/>
        <v>877.76411944936353</v>
      </c>
      <c r="AZ24" s="98">
        <f>IF($E24="PGE",($AZ$4*$L24)+'[1]Water Costs'!I$16,"N/A")</f>
        <v>3997.5512194493635</v>
      </c>
      <c r="BA24" s="93">
        <f t="shared" si="5"/>
        <v>734.84749999999997</v>
      </c>
      <c r="BB24" s="93">
        <f t="shared" si="0"/>
        <v>1</v>
      </c>
    </row>
    <row r="25" spans="1:56" x14ac:dyDescent="0.35">
      <c r="A25" s="93" t="s">
        <v>139</v>
      </c>
      <c r="B25" s="93" t="s">
        <v>140</v>
      </c>
      <c r="C25" s="93" t="s">
        <v>141</v>
      </c>
      <c r="D25" s="111">
        <v>40944</v>
      </c>
      <c r="E25" s="93" t="s">
        <v>33</v>
      </c>
      <c r="F25" s="93" t="s">
        <v>174</v>
      </c>
      <c r="G25" s="93" t="s">
        <v>143</v>
      </c>
      <c r="H25" s="93" t="s">
        <v>144</v>
      </c>
      <c r="I25" s="93" t="s">
        <v>156</v>
      </c>
      <c r="J25" s="102" t="str">
        <f t="shared" si="7"/>
        <v>SFmCZ02</v>
      </c>
      <c r="K25" s="93" t="s">
        <v>146</v>
      </c>
      <c r="L25" s="93">
        <v>1.73</v>
      </c>
      <c r="M25" s="93">
        <v>1730</v>
      </c>
      <c r="N25" s="93" t="s">
        <v>147</v>
      </c>
      <c r="O25" s="93">
        <v>0</v>
      </c>
      <c r="P25" s="93">
        <v>0</v>
      </c>
      <c r="Q25" s="93">
        <v>0</v>
      </c>
      <c r="R25" s="93">
        <v>575</v>
      </c>
      <c r="S25" s="93">
        <v>1.44</v>
      </c>
      <c r="T25" s="93">
        <v>-63</v>
      </c>
      <c r="U25" s="93">
        <v>0</v>
      </c>
      <c r="V25" s="93">
        <v>0</v>
      </c>
      <c r="W25" s="93">
        <v>0</v>
      </c>
      <c r="X25" s="93">
        <v>308</v>
      </c>
      <c r="Y25" s="93">
        <v>0.86899999999999999</v>
      </c>
      <c r="Z25" s="93">
        <v>-63.7</v>
      </c>
      <c r="AC25" s="93">
        <v>2</v>
      </c>
      <c r="AD25" s="93" t="s">
        <v>175</v>
      </c>
      <c r="AE25" s="93" t="s">
        <v>149</v>
      </c>
      <c r="AF25" s="93" t="s">
        <v>157</v>
      </c>
      <c r="AG25" s="93" t="s">
        <v>151</v>
      </c>
      <c r="AH25" s="93" t="s">
        <v>139</v>
      </c>
      <c r="AI25" s="93" t="s">
        <v>147</v>
      </c>
      <c r="AJ25" s="93" t="s">
        <v>37</v>
      </c>
      <c r="AK25" s="93" t="s">
        <v>152</v>
      </c>
      <c r="AM25" s="93" t="s">
        <v>37</v>
      </c>
      <c r="AN25" s="93" t="s">
        <v>153</v>
      </c>
      <c r="AO25" s="93" t="s">
        <v>154</v>
      </c>
      <c r="AP25" s="93" t="s">
        <v>155</v>
      </c>
      <c r="AQ25" s="113">
        <f>IF($E25="SCE",VLOOKUP($BB25,'[1]ESAF_&amp;_PDAF_Summary'!$B$4:$D$18,2,0),1)</f>
        <v>1</v>
      </c>
      <c r="AR25" s="113">
        <f>IF($E25="SCE",VLOOKUP($BB25,'[1]ESAF_&amp;_PDAF_Summary'!$B$4:$D$18,3,0),1)</f>
        <v>1</v>
      </c>
      <c r="AS25" s="113">
        <f>IF($E25="SCE",VLOOKUP($BB25,'[1]ESAF_&amp;_PDAF_Summary'!$B$4:$E$18,4,0),1)</f>
        <v>1</v>
      </c>
      <c r="AT25" s="93" t="str">
        <f t="shared" si="1"/>
        <v>N/A</v>
      </c>
      <c r="AU25" s="93" t="str">
        <f t="shared" si="2"/>
        <v>N/A</v>
      </c>
      <c r="AV25" s="93">
        <v>0</v>
      </c>
      <c r="AW25" s="93">
        <f t="shared" si="6"/>
        <v>2796.4931000000001</v>
      </c>
      <c r="AX25" s="93">
        <f t="shared" si="3"/>
        <v>987.5012999999999</v>
      </c>
      <c r="AY25" s="96">
        <f t="shared" si="4"/>
        <v>793.50871944936353</v>
      </c>
      <c r="AZ25" s="98">
        <f>IF($E25="PGE",($AZ$4*$L25)+'[1]Water Costs'!I$16,"N/A")</f>
        <v>3590.0018194493637</v>
      </c>
      <c r="BA25" s="93">
        <f t="shared" si="5"/>
        <v>658.69749999999999</v>
      </c>
      <c r="BB25" s="93">
        <f t="shared" si="0"/>
        <v>2</v>
      </c>
    </row>
    <row r="26" spans="1:56" x14ac:dyDescent="0.35">
      <c r="A26" s="93" t="s">
        <v>139</v>
      </c>
      <c r="B26" s="93" t="s">
        <v>140</v>
      </c>
      <c r="C26" s="93" t="s">
        <v>141</v>
      </c>
      <c r="D26" s="111">
        <v>40944</v>
      </c>
      <c r="E26" s="93" t="s">
        <v>33</v>
      </c>
      <c r="F26" s="93" t="s">
        <v>174</v>
      </c>
      <c r="G26" s="93" t="s">
        <v>143</v>
      </c>
      <c r="H26" s="93" t="s">
        <v>144</v>
      </c>
      <c r="I26" s="93" t="s">
        <v>158</v>
      </c>
      <c r="J26" s="102" t="str">
        <f t="shared" si="7"/>
        <v>SFmCZ03</v>
      </c>
      <c r="K26" s="93" t="s">
        <v>146</v>
      </c>
      <c r="L26" s="93">
        <v>1.71</v>
      </c>
      <c r="M26" s="93">
        <v>1710</v>
      </c>
      <c r="N26" s="93" t="s">
        <v>147</v>
      </c>
      <c r="O26" s="93">
        <v>0</v>
      </c>
      <c r="P26" s="93">
        <v>0</v>
      </c>
      <c r="Q26" s="93">
        <v>0</v>
      </c>
      <c r="R26" s="93">
        <v>143</v>
      </c>
      <c r="S26" s="93">
        <v>1.19</v>
      </c>
      <c r="T26" s="93">
        <v>-47.2</v>
      </c>
      <c r="U26" s="93">
        <v>0</v>
      </c>
      <c r="V26" s="93">
        <v>0</v>
      </c>
      <c r="W26" s="93">
        <v>0</v>
      </c>
      <c r="X26" s="93">
        <v>60.7</v>
      </c>
      <c r="Y26" s="93">
        <v>0.66900000000000004</v>
      </c>
      <c r="Z26" s="93">
        <v>-47.8</v>
      </c>
      <c r="AC26" s="93">
        <v>2</v>
      </c>
      <c r="AD26" s="93" t="s">
        <v>175</v>
      </c>
      <c r="AE26" s="93" t="s">
        <v>149</v>
      </c>
      <c r="AF26" s="93" t="s">
        <v>159</v>
      </c>
      <c r="AG26" s="93" t="s">
        <v>151</v>
      </c>
      <c r="AH26" s="93" t="s">
        <v>139</v>
      </c>
      <c r="AI26" s="93" t="s">
        <v>147</v>
      </c>
      <c r="AJ26" s="93" t="s">
        <v>37</v>
      </c>
      <c r="AK26" s="93" t="s">
        <v>152</v>
      </c>
      <c r="AM26" s="93" t="s">
        <v>37</v>
      </c>
      <c r="AN26" s="93" t="s">
        <v>153</v>
      </c>
      <c r="AO26" s="93" t="s">
        <v>154</v>
      </c>
      <c r="AP26" s="93" t="s">
        <v>155</v>
      </c>
      <c r="AQ26" s="113">
        <f>IF($E26="SCE",VLOOKUP($BB26,'[1]ESAF_&amp;_PDAF_Summary'!$B$4:$D$18,2,0),1)</f>
        <v>1</v>
      </c>
      <c r="AR26" s="113">
        <f>IF($E26="SCE",VLOOKUP($BB26,'[1]ESAF_&amp;_PDAF_Summary'!$B$4:$D$18,3,0),1)</f>
        <v>1</v>
      </c>
      <c r="AS26" s="113">
        <f>IF($E26="SCE",VLOOKUP($BB26,'[1]ESAF_&amp;_PDAF_Summary'!$B$4:$E$18,4,0),1)</f>
        <v>1</v>
      </c>
      <c r="AT26" s="93" t="str">
        <f t="shared" si="1"/>
        <v>N/A</v>
      </c>
      <c r="AU26" s="93" t="str">
        <f t="shared" si="2"/>
        <v>N/A</v>
      </c>
      <c r="AV26" s="93">
        <v>0</v>
      </c>
      <c r="AW26" s="93">
        <f t="shared" si="6"/>
        <v>2764.1637000000001</v>
      </c>
      <c r="AX26" s="93">
        <f t="shared" si="3"/>
        <v>976.0850999999999</v>
      </c>
      <c r="AY26" s="96">
        <f t="shared" si="4"/>
        <v>785.0831794493638</v>
      </c>
      <c r="AZ26" s="98">
        <f>IF($E26="PGE",($AZ$4*$L26)+'[1]Water Costs'!I$16,"N/A")</f>
        <v>3549.2468794493639</v>
      </c>
      <c r="BA26" s="93">
        <f t="shared" si="5"/>
        <v>651.08249999999998</v>
      </c>
      <c r="BB26" s="93">
        <f t="shared" si="0"/>
        <v>3</v>
      </c>
    </row>
    <row r="27" spans="1:56" x14ac:dyDescent="0.35">
      <c r="A27" s="93" t="s">
        <v>139</v>
      </c>
      <c r="B27" s="93" t="s">
        <v>140</v>
      </c>
      <c r="C27" s="93" t="s">
        <v>141</v>
      </c>
      <c r="D27" s="111">
        <v>40944</v>
      </c>
      <c r="E27" s="93" t="s">
        <v>33</v>
      </c>
      <c r="F27" s="93" t="s">
        <v>174</v>
      </c>
      <c r="G27" s="93" t="s">
        <v>143</v>
      </c>
      <c r="H27" s="93" t="s">
        <v>144</v>
      </c>
      <c r="I27" s="93" t="s">
        <v>160</v>
      </c>
      <c r="J27" s="102" t="str">
        <f t="shared" si="7"/>
        <v>SFmCZ04</v>
      </c>
      <c r="K27" s="93" t="s">
        <v>146</v>
      </c>
      <c r="L27" s="93">
        <v>1.71</v>
      </c>
      <c r="M27" s="93">
        <v>1710</v>
      </c>
      <c r="N27" s="93" t="s">
        <v>147</v>
      </c>
      <c r="O27" s="93">
        <v>0</v>
      </c>
      <c r="P27" s="93">
        <v>0</v>
      </c>
      <c r="Q27" s="93">
        <v>0</v>
      </c>
      <c r="R27" s="93">
        <v>424</v>
      </c>
      <c r="S27" s="93">
        <v>0.97299999999999998</v>
      </c>
      <c r="T27" s="93">
        <v>-47.4</v>
      </c>
      <c r="U27" s="93">
        <v>0</v>
      </c>
      <c r="V27" s="93">
        <v>0</v>
      </c>
      <c r="W27" s="93">
        <v>0</v>
      </c>
      <c r="X27" s="93">
        <v>195</v>
      </c>
      <c r="Y27" s="93">
        <v>0.621</v>
      </c>
      <c r="Z27" s="93">
        <v>-48</v>
      </c>
      <c r="AC27" s="93">
        <v>2</v>
      </c>
      <c r="AD27" s="93" t="s">
        <v>175</v>
      </c>
      <c r="AE27" s="93" t="s">
        <v>149</v>
      </c>
      <c r="AF27" s="93" t="s">
        <v>161</v>
      </c>
      <c r="AG27" s="93" t="s">
        <v>151</v>
      </c>
      <c r="AH27" s="93" t="s">
        <v>139</v>
      </c>
      <c r="AI27" s="93" t="s">
        <v>147</v>
      </c>
      <c r="AJ27" s="93" t="s">
        <v>37</v>
      </c>
      <c r="AK27" s="93" t="s">
        <v>152</v>
      </c>
      <c r="AM27" s="93" t="s">
        <v>37</v>
      </c>
      <c r="AN27" s="93" t="s">
        <v>153</v>
      </c>
      <c r="AO27" s="93" t="s">
        <v>154</v>
      </c>
      <c r="AP27" s="93" t="s">
        <v>155</v>
      </c>
      <c r="AQ27" s="113">
        <f>IF($E27="SCE",VLOOKUP($BB27,'[1]ESAF_&amp;_PDAF_Summary'!$B$4:$D$18,2,0),1)</f>
        <v>1</v>
      </c>
      <c r="AR27" s="113">
        <f>IF($E27="SCE",VLOOKUP($BB27,'[1]ESAF_&amp;_PDAF_Summary'!$B$4:$D$18,3,0),1)</f>
        <v>1</v>
      </c>
      <c r="AS27" s="113">
        <f>IF($E27="SCE",VLOOKUP($BB27,'[1]ESAF_&amp;_PDAF_Summary'!$B$4:$E$18,4,0),1)</f>
        <v>1</v>
      </c>
      <c r="AT27" s="93" t="str">
        <f t="shared" si="1"/>
        <v>N/A</v>
      </c>
      <c r="AU27" s="93" t="str">
        <f t="shared" si="2"/>
        <v>N/A</v>
      </c>
      <c r="AV27" s="93">
        <v>0</v>
      </c>
      <c r="AW27" s="93">
        <f t="shared" si="6"/>
        <v>2764.1637000000001</v>
      </c>
      <c r="AX27" s="93">
        <f t="shared" si="3"/>
        <v>976.0850999999999</v>
      </c>
      <c r="AY27" s="96">
        <f t="shared" si="4"/>
        <v>785.0831794493638</v>
      </c>
      <c r="AZ27" s="98">
        <f>IF($E27="PGE",($AZ$4*$L27)+'[1]Water Costs'!I$16,"N/A")</f>
        <v>3549.2468794493639</v>
      </c>
      <c r="BA27" s="93">
        <f t="shared" si="5"/>
        <v>651.08249999999998</v>
      </c>
      <c r="BB27" s="93">
        <f t="shared" si="0"/>
        <v>4</v>
      </c>
    </row>
    <row r="28" spans="1:56" x14ac:dyDescent="0.35">
      <c r="A28" s="93" t="s">
        <v>139</v>
      </c>
      <c r="B28" s="93" t="s">
        <v>140</v>
      </c>
      <c r="C28" s="93" t="s">
        <v>141</v>
      </c>
      <c r="D28" s="111">
        <v>40944</v>
      </c>
      <c r="E28" s="93" t="s">
        <v>33</v>
      </c>
      <c r="F28" s="93" t="s">
        <v>174</v>
      </c>
      <c r="G28" s="93" t="s">
        <v>143</v>
      </c>
      <c r="H28" s="93" t="s">
        <v>144</v>
      </c>
      <c r="I28" s="93" t="s">
        <v>162</v>
      </c>
      <c r="J28" s="102" t="str">
        <f t="shared" si="7"/>
        <v>SFmCZ05</v>
      </c>
      <c r="K28" s="93" t="s">
        <v>146</v>
      </c>
      <c r="L28" s="93">
        <v>1.76</v>
      </c>
      <c r="M28" s="93">
        <v>1760</v>
      </c>
      <c r="N28" s="93" t="s">
        <v>147</v>
      </c>
      <c r="O28" s="93">
        <v>0</v>
      </c>
      <c r="P28" s="93">
        <v>0</v>
      </c>
      <c r="Q28" s="93">
        <v>0</v>
      </c>
      <c r="R28" s="93">
        <v>198</v>
      </c>
      <c r="S28" s="93">
        <v>1.38</v>
      </c>
      <c r="T28" s="93">
        <v>-42.2</v>
      </c>
      <c r="U28" s="93">
        <v>0</v>
      </c>
      <c r="V28" s="93">
        <v>0</v>
      </c>
      <c r="W28" s="93">
        <v>0</v>
      </c>
      <c r="X28" s="93">
        <v>97.4</v>
      </c>
      <c r="Y28" s="93">
        <v>0.876</v>
      </c>
      <c r="Z28" s="93">
        <v>-42.7</v>
      </c>
      <c r="AC28" s="93">
        <v>2</v>
      </c>
      <c r="AD28" s="93" t="s">
        <v>175</v>
      </c>
      <c r="AE28" s="93" t="s">
        <v>149</v>
      </c>
      <c r="AF28" s="93" t="s">
        <v>163</v>
      </c>
      <c r="AG28" s="93" t="s">
        <v>151</v>
      </c>
      <c r="AH28" s="93" t="s">
        <v>139</v>
      </c>
      <c r="AI28" s="93" t="s">
        <v>147</v>
      </c>
      <c r="AJ28" s="93" t="s">
        <v>37</v>
      </c>
      <c r="AK28" s="93" t="s">
        <v>152</v>
      </c>
      <c r="AM28" s="93" t="s">
        <v>37</v>
      </c>
      <c r="AN28" s="93" t="s">
        <v>153</v>
      </c>
      <c r="AO28" s="93" t="s">
        <v>154</v>
      </c>
      <c r="AP28" s="93" t="s">
        <v>155</v>
      </c>
      <c r="AQ28" s="113">
        <f>IF($E28="SCE",VLOOKUP($BB28,'[1]ESAF_&amp;_PDAF_Summary'!$B$4:$D$18,2,0),1)</f>
        <v>1</v>
      </c>
      <c r="AR28" s="113">
        <f>IF($E28="SCE",VLOOKUP($BB28,'[1]ESAF_&amp;_PDAF_Summary'!$B$4:$D$18,3,0),1)</f>
        <v>1</v>
      </c>
      <c r="AS28" s="113">
        <f>IF($E28="SCE",VLOOKUP($BB28,'[1]ESAF_&amp;_PDAF_Summary'!$B$4:$E$18,4,0),1)</f>
        <v>1</v>
      </c>
      <c r="AT28" s="93" t="str">
        <f t="shared" si="1"/>
        <v>N/A</v>
      </c>
      <c r="AU28" s="93" t="str">
        <f t="shared" si="2"/>
        <v>N/A</v>
      </c>
      <c r="AV28" s="93">
        <v>0</v>
      </c>
      <c r="AW28" s="93">
        <f t="shared" si="6"/>
        <v>2844.9872</v>
      </c>
      <c r="AX28" s="93">
        <f t="shared" si="3"/>
        <v>1004.6256</v>
      </c>
      <c r="AY28" s="96">
        <f t="shared" si="4"/>
        <v>806.1470294493638</v>
      </c>
      <c r="AZ28" s="98">
        <f>IF($E28="PGE",($AZ$4*$L28)+'[1]Water Costs'!I$16,"N/A")</f>
        <v>3651.1342294493638</v>
      </c>
      <c r="BA28" s="93">
        <f t="shared" si="5"/>
        <v>670.12</v>
      </c>
      <c r="BB28" s="93">
        <f t="shared" si="0"/>
        <v>5</v>
      </c>
    </row>
    <row r="29" spans="1:56" x14ac:dyDescent="0.35">
      <c r="A29" s="93" t="s">
        <v>139</v>
      </c>
      <c r="B29" s="93" t="s">
        <v>140</v>
      </c>
      <c r="C29" s="93" t="s">
        <v>141</v>
      </c>
      <c r="D29" s="111">
        <v>40944</v>
      </c>
      <c r="E29" s="93" t="s">
        <v>33</v>
      </c>
      <c r="F29" s="93" t="s">
        <v>174</v>
      </c>
      <c r="G29" s="93" t="s">
        <v>143</v>
      </c>
      <c r="H29" s="93" t="s">
        <v>144</v>
      </c>
      <c r="I29" s="93" t="s">
        <v>164</v>
      </c>
      <c r="J29" s="102" t="str">
        <f t="shared" si="7"/>
        <v>SFmCZ11</v>
      </c>
      <c r="K29" s="93" t="s">
        <v>146</v>
      </c>
      <c r="L29" s="93">
        <v>1.71</v>
      </c>
      <c r="M29" s="93">
        <v>1710</v>
      </c>
      <c r="N29" s="93" t="s">
        <v>147</v>
      </c>
      <c r="O29" s="93">
        <v>0</v>
      </c>
      <c r="P29" s="93">
        <v>0</v>
      </c>
      <c r="Q29" s="93">
        <v>0</v>
      </c>
      <c r="R29" s="93">
        <v>906</v>
      </c>
      <c r="S29" s="93">
        <v>1.52</v>
      </c>
      <c r="T29" s="93">
        <v>-53.9</v>
      </c>
      <c r="U29" s="93">
        <v>0</v>
      </c>
      <c r="V29" s="93">
        <v>0</v>
      </c>
      <c r="W29" s="93">
        <v>0</v>
      </c>
      <c r="X29" s="93">
        <v>538</v>
      </c>
      <c r="Y29" s="93">
        <v>0.98499999999999999</v>
      </c>
      <c r="Z29" s="93">
        <v>-54.4</v>
      </c>
      <c r="AC29" s="93">
        <v>2</v>
      </c>
      <c r="AD29" s="93" t="s">
        <v>175</v>
      </c>
      <c r="AE29" s="93" t="s">
        <v>149</v>
      </c>
      <c r="AF29" s="93" t="s">
        <v>165</v>
      </c>
      <c r="AG29" s="93" t="s">
        <v>151</v>
      </c>
      <c r="AH29" s="93" t="s">
        <v>139</v>
      </c>
      <c r="AI29" s="93" t="s">
        <v>147</v>
      </c>
      <c r="AJ29" s="93" t="s">
        <v>37</v>
      </c>
      <c r="AK29" s="93" t="s">
        <v>152</v>
      </c>
      <c r="AM29" s="93" t="s">
        <v>37</v>
      </c>
      <c r="AN29" s="93" t="s">
        <v>153</v>
      </c>
      <c r="AO29" s="93" t="s">
        <v>154</v>
      </c>
      <c r="AP29" s="93" t="s">
        <v>155</v>
      </c>
      <c r="AQ29" s="113">
        <f>IF($E29="SCE",VLOOKUP($BB29,'[1]ESAF_&amp;_PDAF_Summary'!$B$4:$D$18,2,0),1)</f>
        <v>1</v>
      </c>
      <c r="AR29" s="113">
        <f>IF($E29="SCE",VLOOKUP($BB29,'[1]ESAF_&amp;_PDAF_Summary'!$B$4:$D$18,3,0),1)</f>
        <v>1</v>
      </c>
      <c r="AS29" s="113">
        <f>IF($E29="SCE",VLOOKUP($BB29,'[1]ESAF_&amp;_PDAF_Summary'!$B$4:$E$18,4,0),1)</f>
        <v>1</v>
      </c>
      <c r="AT29" s="93" t="str">
        <f t="shared" si="1"/>
        <v>N/A</v>
      </c>
      <c r="AU29" s="93" t="str">
        <f t="shared" si="2"/>
        <v>N/A</v>
      </c>
      <c r="AV29" s="93">
        <v>0</v>
      </c>
      <c r="AW29" s="93">
        <f t="shared" si="6"/>
        <v>2764.1637000000001</v>
      </c>
      <c r="AX29" s="93">
        <f t="shared" si="3"/>
        <v>976.0850999999999</v>
      </c>
      <c r="AY29" s="96">
        <f t="shared" si="4"/>
        <v>785.0831794493638</v>
      </c>
      <c r="AZ29" s="98">
        <f>IF($E29="PGE",($AZ$4*$L29)+'[1]Water Costs'!I$16,"N/A")</f>
        <v>3549.2468794493639</v>
      </c>
      <c r="BA29" s="93">
        <f t="shared" si="5"/>
        <v>651.08249999999998</v>
      </c>
      <c r="BB29" s="93">
        <f t="shared" si="0"/>
        <v>11</v>
      </c>
    </row>
    <row r="30" spans="1:56" x14ac:dyDescent="0.35">
      <c r="A30" s="93" t="s">
        <v>139</v>
      </c>
      <c r="B30" s="93" t="s">
        <v>140</v>
      </c>
      <c r="C30" s="93" t="s">
        <v>141</v>
      </c>
      <c r="D30" s="111">
        <v>40944</v>
      </c>
      <c r="E30" s="93" t="s">
        <v>33</v>
      </c>
      <c r="F30" s="93" t="s">
        <v>174</v>
      </c>
      <c r="G30" s="93" t="s">
        <v>143</v>
      </c>
      <c r="H30" s="93" t="s">
        <v>144</v>
      </c>
      <c r="I30" s="93" t="s">
        <v>166</v>
      </c>
      <c r="J30" s="102" t="str">
        <f t="shared" si="7"/>
        <v>SFmCZ12</v>
      </c>
      <c r="K30" s="93" t="s">
        <v>146</v>
      </c>
      <c r="L30" s="93">
        <v>1.68</v>
      </c>
      <c r="M30" s="93">
        <v>1680</v>
      </c>
      <c r="N30" s="93" t="s">
        <v>147</v>
      </c>
      <c r="O30" s="93">
        <v>0</v>
      </c>
      <c r="P30" s="93">
        <v>0</v>
      </c>
      <c r="Q30" s="93">
        <v>0</v>
      </c>
      <c r="R30" s="93">
        <v>712</v>
      </c>
      <c r="S30" s="93">
        <v>1.41</v>
      </c>
      <c r="T30" s="93">
        <v>-52.2</v>
      </c>
      <c r="U30" s="93">
        <v>0</v>
      </c>
      <c r="V30" s="93">
        <v>0</v>
      </c>
      <c r="W30" s="93">
        <v>0</v>
      </c>
      <c r="X30" s="93">
        <v>384</v>
      </c>
      <c r="Y30" s="93">
        <v>0.90300000000000002</v>
      </c>
      <c r="Z30" s="93">
        <v>-52.7</v>
      </c>
      <c r="AC30" s="93">
        <v>2</v>
      </c>
      <c r="AD30" s="93" t="s">
        <v>175</v>
      </c>
      <c r="AE30" s="93" t="s">
        <v>149</v>
      </c>
      <c r="AF30" s="93" t="s">
        <v>167</v>
      </c>
      <c r="AG30" s="93" t="s">
        <v>151</v>
      </c>
      <c r="AH30" s="93" t="s">
        <v>139</v>
      </c>
      <c r="AI30" s="93" t="s">
        <v>147</v>
      </c>
      <c r="AJ30" s="93" t="s">
        <v>37</v>
      </c>
      <c r="AK30" s="93" t="s">
        <v>152</v>
      </c>
      <c r="AM30" s="93" t="s">
        <v>37</v>
      </c>
      <c r="AN30" s="93" t="s">
        <v>153</v>
      </c>
      <c r="AO30" s="93" t="s">
        <v>154</v>
      </c>
      <c r="AP30" s="93" t="s">
        <v>155</v>
      </c>
      <c r="AQ30" s="113">
        <f>IF($E30="SCE",VLOOKUP($BB30,'[1]ESAF_&amp;_PDAF_Summary'!$B$4:$D$18,2,0),1)</f>
        <v>1</v>
      </c>
      <c r="AR30" s="113">
        <f>IF($E30="SCE",VLOOKUP($BB30,'[1]ESAF_&amp;_PDAF_Summary'!$B$4:$D$18,3,0),1)</f>
        <v>1</v>
      </c>
      <c r="AS30" s="113">
        <f>IF($E30="SCE",VLOOKUP($BB30,'[1]ESAF_&amp;_PDAF_Summary'!$B$4:$E$18,4,0),1)</f>
        <v>1</v>
      </c>
      <c r="AT30" s="93" t="str">
        <f t="shared" si="1"/>
        <v>N/A</v>
      </c>
      <c r="AU30" s="93" t="str">
        <f t="shared" si="2"/>
        <v>N/A</v>
      </c>
      <c r="AV30" s="93">
        <v>0</v>
      </c>
      <c r="AW30" s="93">
        <f t="shared" si="6"/>
        <v>2715.6695999999997</v>
      </c>
      <c r="AX30" s="93">
        <f t="shared" si="3"/>
        <v>958.96079999999984</v>
      </c>
      <c r="AY30" s="96">
        <f t="shared" si="4"/>
        <v>772.44486944936398</v>
      </c>
      <c r="AZ30" s="98">
        <f>IF($E30="PGE",($AZ$4*$L30)+'[1]Water Costs'!I$16,"N/A")</f>
        <v>3488.1144694493637</v>
      </c>
      <c r="BA30" s="93">
        <f t="shared" si="5"/>
        <v>639.66</v>
      </c>
      <c r="BB30" s="93">
        <f t="shared" si="0"/>
        <v>12</v>
      </c>
    </row>
    <row r="31" spans="1:56" x14ac:dyDescent="0.35">
      <c r="A31" s="93" t="s">
        <v>139</v>
      </c>
      <c r="B31" s="93" t="s">
        <v>140</v>
      </c>
      <c r="C31" s="93" t="s">
        <v>141</v>
      </c>
      <c r="D31" s="111">
        <v>40944</v>
      </c>
      <c r="E31" s="93" t="s">
        <v>33</v>
      </c>
      <c r="F31" s="93" t="s">
        <v>174</v>
      </c>
      <c r="G31" s="93" t="s">
        <v>143</v>
      </c>
      <c r="H31" s="93" t="s">
        <v>144</v>
      </c>
      <c r="I31" s="93" t="s">
        <v>168</v>
      </c>
      <c r="J31" s="102" t="str">
        <f t="shared" si="7"/>
        <v>SFmCZ13</v>
      </c>
      <c r="K31" s="93" t="s">
        <v>146</v>
      </c>
      <c r="L31" s="93">
        <v>1.69</v>
      </c>
      <c r="M31" s="93">
        <v>1690</v>
      </c>
      <c r="N31" s="93" t="s">
        <v>147</v>
      </c>
      <c r="O31" s="93">
        <v>0</v>
      </c>
      <c r="P31" s="93">
        <v>0</v>
      </c>
      <c r="Q31" s="93">
        <v>0</v>
      </c>
      <c r="R31" s="93">
        <v>1250</v>
      </c>
      <c r="S31" s="93">
        <v>1.47</v>
      </c>
      <c r="T31" s="93">
        <v>-39</v>
      </c>
      <c r="U31" s="93">
        <v>0</v>
      </c>
      <c r="V31" s="93">
        <v>0</v>
      </c>
      <c r="W31" s="93">
        <v>0</v>
      </c>
      <c r="X31" s="93">
        <v>713</v>
      </c>
      <c r="Y31" s="93">
        <v>0.94</v>
      </c>
      <c r="Z31" s="93">
        <v>-39.4</v>
      </c>
      <c r="AC31" s="93">
        <v>2</v>
      </c>
      <c r="AD31" s="93" t="s">
        <v>175</v>
      </c>
      <c r="AE31" s="93" t="s">
        <v>149</v>
      </c>
      <c r="AF31" s="93" t="s">
        <v>169</v>
      </c>
      <c r="AG31" s="93" t="s">
        <v>151</v>
      </c>
      <c r="AH31" s="93" t="s">
        <v>139</v>
      </c>
      <c r="AI31" s="93" t="s">
        <v>147</v>
      </c>
      <c r="AJ31" s="93" t="s">
        <v>37</v>
      </c>
      <c r="AK31" s="93" t="s">
        <v>152</v>
      </c>
      <c r="AM31" s="93" t="s">
        <v>37</v>
      </c>
      <c r="AN31" s="93" t="s">
        <v>153</v>
      </c>
      <c r="AO31" s="93" t="s">
        <v>154</v>
      </c>
      <c r="AP31" s="93" t="s">
        <v>155</v>
      </c>
      <c r="AQ31" s="113">
        <f>IF($E31="SCE",VLOOKUP($BB31,'[1]ESAF_&amp;_PDAF_Summary'!$B$4:$D$18,2,0),1)</f>
        <v>1</v>
      </c>
      <c r="AR31" s="113">
        <f>IF($E31="SCE",VLOOKUP($BB31,'[1]ESAF_&amp;_PDAF_Summary'!$B$4:$D$18,3,0),1)</f>
        <v>1</v>
      </c>
      <c r="AS31" s="113">
        <f>IF($E31="SCE",VLOOKUP($BB31,'[1]ESAF_&amp;_PDAF_Summary'!$B$4:$E$18,4,0),1)</f>
        <v>1</v>
      </c>
      <c r="AT31" s="93" t="str">
        <f t="shared" si="1"/>
        <v>N/A</v>
      </c>
      <c r="AU31" s="93" t="str">
        <f t="shared" si="2"/>
        <v>N/A</v>
      </c>
      <c r="AV31" s="93">
        <v>0</v>
      </c>
      <c r="AW31" s="93">
        <f t="shared" si="6"/>
        <v>2731.8343</v>
      </c>
      <c r="AX31" s="93">
        <f t="shared" si="3"/>
        <v>964.66889999999989</v>
      </c>
      <c r="AY31" s="96">
        <f t="shared" si="4"/>
        <v>776.65763944936361</v>
      </c>
      <c r="AZ31" s="98">
        <f>IF($E31="PGE",($AZ$4*$L31)+'[1]Water Costs'!I$16,"N/A")</f>
        <v>3508.4919394493636</v>
      </c>
      <c r="BA31" s="93">
        <f t="shared" si="5"/>
        <v>643.46749999999997</v>
      </c>
      <c r="BB31" s="93">
        <f t="shared" si="0"/>
        <v>13</v>
      </c>
    </row>
    <row r="32" spans="1:56" x14ac:dyDescent="0.35">
      <c r="A32" s="93" t="s">
        <v>139</v>
      </c>
      <c r="B32" s="93" t="s">
        <v>140</v>
      </c>
      <c r="C32" s="93" t="s">
        <v>141</v>
      </c>
      <c r="D32" s="111">
        <v>40944</v>
      </c>
      <c r="E32" s="93" t="s">
        <v>33</v>
      </c>
      <c r="F32" s="93" t="s">
        <v>174</v>
      </c>
      <c r="G32" s="93" t="s">
        <v>143</v>
      </c>
      <c r="H32" s="93" t="s">
        <v>144</v>
      </c>
      <c r="I32" s="93" t="s">
        <v>170</v>
      </c>
      <c r="J32" s="102" t="str">
        <f t="shared" si="7"/>
        <v>SFmCZ16</v>
      </c>
      <c r="K32" s="93" t="s">
        <v>146</v>
      </c>
      <c r="L32" s="93">
        <v>1.79</v>
      </c>
      <c r="M32" s="93">
        <v>1790</v>
      </c>
      <c r="N32" s="93" t="s">
        <v>147</v>
      </c>
      <c r="O32" s="93">
        <v>0</v>
      </c>
      <c r="P32" s="93">
        <v>0</v>
      </c>
      <c r="Q32" s="93">
        <v>0</v>
      </c>
      <c r="R32" s="93">
        <v>256</v>
      </c>
      <c r="S32" s="93">
        <v>1.39</v>
      </c>
      <c r="T32" s="93">
        <v>-110</v>
      </c>
      <c r="U32" s="93">
        <v>0</v>
      </c>
      <c r="V32" s="93">
        <v>0</v>
      </c>
      <c r="W32" s="93">
        <v>0</v>
      </c>
      <c r="X32" s="93">
        <v>115</v>
      </c>
      <c r="Y32" s="93">
        <v>0.90100000000000002</v>
      </c>
      <c r="Z32" s="93">
        <v>-112</v>
      </c>
      <c r="AC32" s="93">
        <v>2</v>
      </c>
      <c r="AD32" s="93" t="s">
        <v>175</v>
      </c>
      <c r="AE32" s="93" t="s">
        <v>149</v>
      </c>
      <c r="AF32" s="93" t="s">
        <v>171</v>
      </c>
      <c r="AG32" s="93" t="s">
        <v>151</v>
      </c>
      <c r="AH32" s="93" t="s">
        <v>139</v>
      </c>
      <c r="AI32" s="93" t="s">
        <v>147</v>
      </c>
      <c r="AJ32" s="93" t="s">
        <v>37</v>
      </c>
      <c r="AK32" s="93" t="s">
        <v>152</v>
      </c>
      <c r="AM32" s="93" t="s">
        <v>37</v>
      </c>
      <c r="AN32" s="93" t="s">
        <v>153</v>
      </c>
      <c r="AO32" s="93" t="s">
        <v>154</v>
      </c>
      <c r="AP32" s="93" t="s">
        <v>155</v>
      </c>
      <c r="AQ32" s="113">
        <f>IF($E32="SCE",VLOOKUP($BB32,'[1]ESAF_&amp;_PDAF_Summary'!$B$4:$D$18,2,0),1)</f>
        <v>1</v>
      </c>
      <c r="AR32" s="113">
        <f>IF($E32="SCE",VLOOKUP($BB32,'[1]ESAF_&amp;_PDAF_Summary'!$B$4:$D$18,3,0),1)</f>
        <v>1</v>
      </c>
      <c r="AS32" s="113">
        <f>IF($E32="SCE",VLOOKUP($BB32,'[1]ESAF_&amp;_PDAF_Summary'!$B$4:$E$18,4,0),1)</f>
        <v>1</v>
      </c>
      <c r="AT32" s="93" t="str">
        <f t="shared" si="1"/>
        <v>N/A</v>
      </c>
      <c r="AU32" s="93" t="str">
        <f t="shared" si="2"/>
        <v>N/A</v>
      </c>
      <c r="AV32" s="93">
        <v>0</v>
      </c>
      <c r="AW32" s="93">
        <f t="shared" si="6"/>
        <v>2893.4812999999999</v>
      </c>
      <c r="AX32" s="93">
        <f t="shared" si="3"/>
        <v>1021.7498999999999</v>
      </c>
      <c r="AY32" s="96">
        <f t="shared" si="4"/>
        <v>818.78533944936407</v>
      </c>
      <c r="AZ32" s="98">
        <f>IF($E32="PGE",($AZ$4*$L32)+'[1]Water Costs'!I$16,"N/A")</f>
        <v>3712.266639449364</v>
      </c>
      <c r="BA32" s="93">
        <f t="shared" si="5"/>
        <v>681.54250000000002</v>
      </c>
      <c r="BB32" s="93">
        <f t="shared" si="0"/>
        <v>16</v>
      </c>
    </row>
    <row r="33" spans="1:57" hidden="1" x14ac:dyDescent="0.35">
      <c r="A33" s="93" t="s">
        <v>139</v>
      </c>
      <c r="B33" s="93" t="s">
        <v>140</v>
      </c>
      <c r="C33" s="93" t="s">
        <v>141</v>
      </c>
      <c r="D33" s="111">
        <v>40944</v>
      </c>
      <c r="E33" s="93" t="s">
        <v>31</v>
      </c>
      <c r="F33" s="93" t="s">
        <v>142</v>
      </c>
      <c r="G33" s="93" t="s">
        <v>143</v>
      </c>
      <c r="H33" s="93" t="s">
        <v>144</v>
      </c>
      <c r="I33" s="93" t="s">
        <v>176</v>
      </c>
      <c r="J33" s="102" t="str">
        <f t="shared" si="7"/>
        <v>DMoCZ06</v>
      </c>
      <c r="K33" s="93" t="s">
        <v>146</v>
      </c>
      <c r="L33" s="93">
        <v>1.24</v>
      </c>
      <c r="M33" s="93">
        <v>1240</v>
      </c>
      <c r="N33" s="93" t="s">
        <v>147</v>
      </c>
      <c r="O33" s="93">
        <v>0</v>
      </c>
      <c r="P33" s="93">
        <v>0</v>
      </c>
      <c r="Q33" s="93">
        <v>0</v>
      </c>
      <c r="R33" s="93">
        <v>87</v>
      </c>
      <c r="S33" s="93">
        <v>1.93</v>
      </c>
      <c r="T33" s="93">
        <v>-35.299999999999997</v>
      </c>
      <c r="U33" s="93">
        <v>0</v>
      </c>
      <c r="V33" s="93">
        <v>0</v>
      </c>
      <c r="W33" s="93">
        <v>0</v>
      </c>
      <c r="X33" s="93">
        <v>23.7</v>
      </c>
      <c r="Y33" s="93">
        <v>1.01</v>
      </c>
      <c r="Z33" s="93">
        <v>-35.6</v>
      </c>
      <c r="AC33" s="93">
        <v>2</v>
      </c>
      <c r="AD33" s="93" t="s">
        <v>148</v>
      </c>
      <c r="AE33" s="93" t="s">
        <v>149</v>
      </c>
      <c r="AF33" s="93" t="s">
        <v>177</v>
      </c>
      <c r="AG33" s="93" t="s">
        <v>31</v>
      </c>
      <c r="AH33" s="93" t="s">
        <v>139</v>
      </c>
      <c r="AI33" s="93" t="s">
        <v>147</v>
      </c>
      <c r="AJ33" s="93" t="s">
        <v>37</v>
      </c>
      <c r="AK33" s="93" t="s">
        <v>152</v>
      </c>
      <c r="AM33" s="93" t="s">
        <v>37</v>
      </c>
      <c r="AN33" s="93" t="s">
        <v>153</v>
      </c>
      <c r="AO33" s="93" t="s">
        <v>154</v>
      </c>
      <c r="AP33" s="93" t="s">
        <v>155</v>
      </c>
      <c r="AQ33" s="113">
        <f>IF($E33="SCE",VLOOKUP($BB33,'[1]ESAF_&amp;_PDAF_Summary'!$B$4:$D$18,2,0),1)</f>
        <v>0.56081081081081086</v>
      </c>
      <c r="AR33" s="113">
        <f>IF($E33="SCE",VLOOKUP($BB33,'[1]ESAF_&amp;_PDAF_Summary'!$B$4:$D$18,3,0),1)</f>
        <v>0.33333333333333331</v>
      </c>
      <c r="AS33" s="113">
        <f>IF($E33="SCE",VLOOKUP($BB33,'[1]ESAF_&amp;_PDAF_Summary'!$B$4:$E$18,4,0),1)</f>
        <v>0.75</v>
      </c>
      <c r="AT33" s="93">
        <f>IF(AND($E33="PGE",$F33="MFm",OR($I33="CZ11",$I33="CZ12",$I33="CZ13")),X33*$AQ33*$AS33*$L33,IF($E33="SCE",R33*$AQ33*$AS33,"N/A"))</f>
        <v>36.592905405405411</v>
      </c>
      <c r="AU33" s="93">
        <f t="shared" si="2"/>
        <v>0.48249999999999998</v>
      </c>
      <c r="AV33" s="93">
        <v>0</v>
      </c>
      <c r="AW33" s="93">
        <f t="shared" si="6"/>
        <v>1616.47</v>
      </c>
      <c r="AY33" s="93">
        <f t="shared" ref="AY33:AY96" si="8">IF($E33="PGE",AZ33,IF($E33="SCE",AZ33,"N/A"))</f>
        <v>2205.6139217982204</v>
      </c>
      <c r="AZ33" s="98">
        <f>IF($E33="PGE",($AZ$4*$L33)+'[1]Water Costs'!I$16-AW33,IF($E33="SCE",$AZ$4+'[1]Water Costs'!$I$9,"N/A"))</f>
        <v>2205.6139217982204</v>
      </c>
      <c r="BA33" s="98"/>
      <c r="BB33" s="93">
        <f t="shared" si="0"/>
        <v>6</v>
      </c>
      <c r="BD33" s="93">
        <f>X33*$AQ33*$AS33</f>
        <v>9.9684121621621635</v>
      </c>
      <c r="BE33" s="93">
        <f>Y33*$AR33*$AS33</f>
        <v>0.2525</v>
      </c>
    </row>
    <row r="34" spans="1:57" hidden="1" x14ac:dyDescent="0.35">
      <c r="A34" s="93" t="s">
        <v>139</v>
      </c>
      <c r="B34" s="93" t="s">
        <v>140</v>
      </c>
      <c r="C34" s="93" t="s">
        <v>141</v>
      </c>
      <c r="D34" s="111">
        <v>40944</v>
      </c>
      <c r="E34" s="93" t="s">
        <v>31</v>
      </c>
      <c r="F34" s="93" t="s">
        <v>142</v>
      </c>
      <c r="G34" s="93" t="s">
        <v>143</v>
      </c>
      <c r="H34" s="93" t="s">
        <v>144</v>
      </c>
      <c r="I34" s="93" t="s">
        <v>178</v>
      </c>
      <c r="J34" s="102" t="str">
        <f t="shared" si="7"/>
        <v>DMoCZ08</v>
      </c>
      <c r="K34" s="93" t="s">
        <v>146</v>
      </c>
      <c r="L34" s="93">
        <v>1.24</v>
      </c>
      <c r="M34" s="93">
        <v>1240</v>
      </c>
      <c r="N34" s="93" t="s">
        <v>147</v>
      </c>
      <c r="O34" s="93">
        <v>0</v>
      </c>
      <c r="P34" s="93">
        <v>0</v>
      </c>
      <c r="Q34" s="93">
        <v>0</v>
      </c>
      <c r="R34" s="93">
        <v>527</v>
      </c>
      <c r="S34" s="93">
        <v>2.8</v>
      </c>
      <c r="T34" s="93">
        <v>-36.700000000000003</v>
      </c>
      <c r="U34" s="93">
        <v>0</v>
      </c>
      <c r="V34" s="93">
        <v>0</v>
      </c>
      <c r="W34" s="93">
        <v>0</v>
      </c>
      <c r="X34" s="93">
        <v>181</v>
      </c>
      <c r="Y34" s="93">
        <v>1.44</v>
      </c>
      <c r="Z34" s="93">
        <v>-37</v>
      </c>
      <c r="AC34" s="93">
        <v>2</v>
      </c>
      <c r="AD34" s="93" t="s">
        <v>148</v>
      </c>
      <c r="AE34" s="93" t="s">
        <v>149</v>
      </c>
      <c r="AF34" s="93" t="s">
        <v>179</v>
      </c>
      <c r="AG34" s="93" t="s">
        <v>31</v>
      </c>
      <c r="AH34" s="93" t="s">
        <v>139</v>
      </c>
      <c r="AI34" s="93" t="s">
        <v>147</v>
      </c>
      <c r="AJ34" s="93" t="s">
        <v>37</v>
      </c>
      <c r="AK34" s="93" t="s">
        <v>152</v>
      </c>
      <c r="AM34" s="93" t="s">
        <v>37</v>
      </c>
      <c r="AN34" s="93" t="s">
        <v>153</v>
      </c>
      <c r="AO34" s="93" t="s">
        <v>154</v>
      </c>
      <c r="AP34" s="93" t="s">
        <v>155</v>
      </c>
      <c r="AQ34" s="113">
        <f>IF($E34="SCE",VLOOKUP($BB34,'[1]ESAF_&amp;_PDAF_Summary'!$B$4:$D$18,2,0),1)</f>
        <v>0.31993006993006995</v>
      </c>
      <c r="AR34" s="113">
        <f>IF($E34="SCE",VLOOKUP($BB34,'[1]ESAF_&amp;_PDAF_Summary'!$B$4:$D$18,3,0),1)</f>
        <v>0.22222222222222221</v>
      </c>
      <c r="AS34" s="113">
        <f>IF($E34="SCE",VLOOKUP($BB34,'[1]ESAF_&amp;_PDAF_Summary'!$B$4:$E$18,4,0),1)</f>
        <v>0.75</v>
      </c>
      <c r="AT34" s="93">
        <f>IF(AND($E34="PGE",$F34="MFm",OR($I34="CZ11",$I34="CZ12",$I34="CZ13")),X34*$AQ34*$AS34*$L34,IF($E34="SCE",R34*$AQ34*$AS34,"N/A"))</f>
        <v>126.45236013986013</v>
      </c>
      <c r="AU34" s="95">
        <f t="shared" si="2"/>
        <v>0.46666666666666656</v>
      </c>
      <c r="AV34" s="93">
        <v>0</v>
      </c>
      <c r="AW34" s="93">
        <f t="shared" si="6"/>
        <v>1616.47</v>
      </c>
      <c r="AY34" s="93">
        <f t="shared" si="8"/>
        <v>2205.6139217982204</v>
      </c>
      <c r="AZ34" s="98">
        <f>IF($E34="PGE",($AZ$4*$L34)+'[1]Water Costs'!I$16-AW34,IF($E34="SCE",$AZ$4+'[1]Water Costs'!$I$9,"N/A"))</f>
        <v>2205.6139217982204</v>
      </c>
      <c r="BA34" s="98"/>
      <c r="BB34" s="93">
        <f t="shared" si="0"/>
        <v>8</v>
      </c>
      <c r="BD34" s="93">
        <f t="shared" ref="BD34:BD58" si="9">X34*$AQ34*$AS34</f>
        <v>43.430506993006993</v>
      </c>
      <c r="BE34" s="93">
        <f t="shared" ref="BE34:BE58" si="10">Y34*$AR34*$AS34</f>
        <v>0.23999999999999996</v>
      </c>
    </row>
    <row r="35" spans="1:57" hidden="1" x14ac:dyDescent="0.35">
      <c r="A35" s="93" t="s">
        <v>139</v>
      </c>
      <c r="B35" s="93" t="s">
        <v>140</v>
      </c>
      <c r="C35" s="93" t="s">
        <v>141</v>
      </c>
      <c r="D35" s="111">
        <v>40944</v>
      </c>
      <c r="E35" s="93" t="s">
        <v>31</v>
      </c>
      <c r="F35" s="93" t="s">
        <v>142</v>
      </c>
      <c r="G35" s="93" t="s">
        <v>143</v>
      </c>
      <c r="H35" s="93" t="s">
        <v>144</v>
      </c>
      <c r="I35" s="93" t="s">
        <v>180</v>
      </c>
      <c r="J35" s="102" t="str">
        <f t="shared" si="7"/>
        <v>DMoCZ09</v>
      </c>
      <c r="K35" s="93" t="s">
        <v>146</v>
      </c>
      <c r="L35" s="93">
        <v>1.24</v>
      </c>
      <c r="M35" s="93">
        <v>1240</v>
      </c>
      <c r="N35" s="93" t="s">
        <v>147</v>
      </c>
      <c r="O35" s="93">
        <v>0</v>
      </c>
      <c r="P35" s="93">
        <v>0</v>
      </c>
      <c r="Q35" s="93">
        <v>0</v>
      </c>
      <c r="R35" s="93">
        <v>661</v>
      </c>
      <c r="S35" s="93">
        <v>2.0099999999999998</v>
      </c>
      <c r="T35" s="93">
        <v>-38</v>
      </c>
      <c r="U35" s="93">
        <v>0</v>
      </c>
      <c r="V35" s="93">
        <v>0</v>
      </c>
      <c r="W35" s="93">
        <v>0</v>
      </c>
      <c r="X35" s="93">
        <v>247</v>
      </c>
      <c r="Y35" s="93">
        <v>1.08</v>
      </c>
      <c r="Z35" s="93">
        <v>-38.299999999999997</v>
      </c>
      <c r="AC35" s="93">
        <v>2</v>
      </c>
      <c r="AD35" s="93" t="s">
        <v>148</v>
      </c>
      <c r="AE35" s="93" t="s">
        <v>149</v>
      </c>
      <c r="AF35" s="93" t="s">
        <v>181</v>
      </c>
      <c r="AG35" s="93" t="s">
        <v>31</v>
      </c>
      <c r="AH35" s="93" t="s">
        <v>139</v>
      </c>
      <c r="AI35" s="93" t="s">
        <v>147</v>
      </c>
      <c r="AJ35" s="93" t="s">
        <v>37</v>
      </c>
      <c r="AK35" s="93" t="s">
        <v>152</v>
      </c>
      <c r="AM35" s="93" t="s">
        <v>37</v>
      </c>
      <c r="AN35" s="93" t="s">
        <v>153</v>
      </c>
      <c r="AO35" s="93" t="s">
        <v>154</v>
      </c>
      <c r="AP35" s="93" t="s">
        <v>155</v>
      </c>
      <c r="AQ35" s="113">
        <f>IF($E35="SCE",VLOOKUP($BB35,'[1]ESAF_&amp;_PDAF_Summary'!$B$4:$D$18,2,0),1)</f>
        <v>0.26299376299376298</v>
      </c>
      <c r="AR35" s="113">
        <f>IF($E35="SCE",VLOOKUP($BB35,'[1]ESAF_&amp;_PDAF_Summary'!$B$4:$D$18,3,0),1)</f>
        <v>0</v>
      </c>
      <c r="AS35" s="113">
        <f>IF($E35="SCE",VLOOKUP($BB35,'[1]ESAF_&amp;_PDAF_Summary'!$B$4:$E$18,4,0),1)</f>
        <v>0.75</v>
      </c>
      <c r="AT35" s="93">
        <f t="shared" si="1"/>
        <v>130.379158004158</v>
      </c>
      <c r="AU35" s="95">
        <f t="shared" si="2"/>
        <v>0</v>
      </c>
      <c r="AV35" s="93">
        <v>0</v>
      </c>
      <c r="AW35" s="93">
        <f t="shared" si="6"/>
        <v>1616.47</v>
      </c>
      <c r="AY35" s="93">
        <f t="shared" si="8"/>
        <v>2205.6139217982204</v>
      </c>
      <c r="AZ35" s="98">
        <f>IF($E35="PGE",($AZ$4*$L35)+'[1]Water Costs'!I$16-AW35,IF($E35="SCE",$AZ$4+'[1]Water Costs'!$I$9,"N/A"))</f>
        <v>2205.6139217982204</v>
      </c>
      <c r="BA35" s="98"/>
      <c r="BB35" s="93">
        <f t="shared" si="0"/>
        <v>9</v>
      </c>
      <c r="BD35" s="93">
        <f t="shared" si="9"/>
        <v>48.719594594594589</v>
      </c>
      <c r="BE35" s="93">
        <f t="shared" si="10"/>
        <v>0</v>
      </c>
    </row>
    <row r="36" spans="1:57" hidden="1" x14ac:dyDescent="0.35">
      <c r="A36" s="93" t="s">
        <v>139</v>
      </c>
      <c r="B36" s="93" t="s">
        <v>140</v>
      </c>
      <c r="C36" s="93" t="s">
        <v>141</v>
      </c>
      <c r="D36" s="111">
        <v>40944</v>
      </c>
      <c r="E36" s="93" t="s">
        <v>31</v>
      </c>
      <c r="F36" s="93" t="s">
        <v>142</v>
      </c>
      <c r="G36" s="93" t="s">
        <v>143</v>
      </c>
      <c r="H36" s="93" t="s">
        <v>144</v>
      </c>
      <c r="I36" s="93" t="s">
        <v>182</v>
      </c>
      <c r="J36" s="102" t="str">
        <f t="shared" si="7"/>
        <v>DMoCZ10</v>
      </c>
      <c r="K36" s="93" t="s">
        <v>146</v>
      </c>
      <c r="L36" s="93">
        <v>1.24</v>
      </c>
      <c r="M36" s="93">
        <v>1240</v>
      </c>
      <c r="N36" s="93" t="s">
        <v>147</v>
      </c>
      <c r="O36" s="93">
        <v>0</v>
      </c>
      <c r="P36" s="93">
        <v>0</v>
      </c>
      <c r="Q36" s="93">
        <v>0</v>
      </c>
      <c r="R36" s="93">
        <v>1180</v>
      </c>
      <c r="S36" s="93">
        <v>2.5099999999999998</v>
      </c>
      <c r="T36" s="93">
        <v>-53.5</v>
      </c>
      <c r="U36" s="93">
        <v>0</v>
      </c>
      <c r="V36" s="93">
        <v>0</v>
      </c>
      <c r="W36" s="93">
        <v>0</v>
      </c>
      <c r="X36" s="93">
        <v>423</v>
      </c>
      <c r="Y36" s="93">
        <v>1.1499999999999999</v>
      </c>
      <c r="Z36" s="93">
        <v>-53.9</v>
      </c>
      <c r="AC36" s="93">
        <v>2</v>
      </c>
      <c r="AD36" s="93" t="s">
        <v>148</v>
      </c>
      <c r="AE36" s="93" t="s">
        <v>149</v>
      </c>
      <c r="AF36" s="93" t="s">
        <v>183</v>
      </c>
      <c r="AG36" s="93" t="s">
        <v>31</v>
      </c>
      <c r="AH36" s="93" t="s">
        <v>139</v>
      </c>
      <c r="AI36" s="93" t="s">
        <v>147</v>
      </c>
      <c r="AJ36" s="93" t="s">
        <v>37</v>
      </c>
      <c r="AK36" s="93" t="s">
        <v>152</v>
      </c>
      <c r="AM36" s="93" t="s">
        <v>37</v>
      </c>
      <c r="AN36" s="93" t="s">
        <v>153</v>
      </c>
      <c r="AO36" s="93" t="s">
        <v>154</v>
      </c>
      <c r="AP36" s="93" t="s">
        <v>155</v>
      </c>
      <c r="AQ36" s="113">
        <f>IF($E36="SCE",VLOOKUP($BB36,'[1]ESAF_&amp;_PDAF_Summary'!$B$4:$D$18,2,0),1)</f>
        <v>0.47858752817430505</v>
      </c>
      <c r="AR36" s="113">
        <f>IF($E36="SCE",VLOOKUP($BB36,'[1]ESAF_&amp;_PDAF_Summary'!$B$4:$D$18,3,0),1)</f>
        <v>0</v>
      </c>
      <c r="AS36" s="113">
        <f>IF($E36="SCE",VLOOKUP($BB36,'[1]ESAF_&amp;_PDAF_Summary'!$B$4:$E$18,4,0),1)</f>
        <v>0.75</v>
      </c>
      <c r="AT36" s="93">
        <f t="shared" si="1"/>
        <v>423.54996243426001</v>
      </c>
      <c r="AU36" s="95">
        <f t="shared" si="2"/>
        <v>0</v>
      </c>
      <c r="AV36" s="93">
        <v>0</v>
      </c>
      <c r="AW36" s="93">
        <f t="shared" si="6"/>
        <v>1616.47</v>
      </c>
      <c r="AY36" s="93">
        <f t="shared" si="8"/>
        <v>2205.6139217982204</v>
      </c>
      <c r="AZ36" s="98">
        <f>IF($E36="PGE",($AZ$4*$L36)+'[1]Water Costs'!I$16-AW36,IF($E36="SCE",$AZ$4+'[1]Water Costs'!$I$9,"N/A"))</f>
        <v>2205.6139217982204</v>
      </c>
      <c r="BA36" s="98"/>
      <c r="BB36" s="93">
        <f t="shared" si="0"/>
        <v>10</v>
      </c>
      <c r="BD36" s="93">
        <f t="shared" si="9"/>
        <v>151.83189331329828</v>
      </c>
      <c r="BE36" s="93">
        <f t="shared" si="10"/>
        <v>0</v>
      </c>
    </row>
    <row r="37" spans="1:57" hidden="1" x14ac:dyDescent="0.35">
      <c r="A37" s="93" t="s">
        <v>139</v>
      </c>
      <c r="B37" s="93" t="s">
        <v>140</v>
      </c>
      <c r="C37" s="93" t="s">
        <v>141</v>
      </c>
      <c r="D37" s="111">
        <v>40944</v>
      </c>
      <c r="E37" s="93" t="s">
        <v>31</v>
      </c>
      <c r="F37" s="93" t="s">
        <v>142</v>
      </c>
      <c r="G37" s="93" t="s">
        <v>143</v>
      </c>
      <c r="H37" s="93" t="s">
        <v>144</v>
      </c>
      <c r="I37" s="93" t="s">
        <v>168</v>
      </c>
      <c r="J37" s="102" t="str">
        <f t="shared" si="7"/>
        <v>DMoCZ13</v>
      </c>
      <c r="K37" s="93" t="s">
        <v>146</v>
      </c>
      <c r="L37" s="93">
        <v>1.24</v>
      </c>
      <c r="M37" s="93">
        <v>1240</v>
      </c>
      <c r="N37" s="93" t="s">
        <v>147</v>
      </c>
      <c r="O37" s="93">
        <v>0</v>
      </c>
      <c r="P37" s="93">
        <v>0</v>
      </c>
      <c r="Q37" s="93">
        <v>0</v>
      </c>
      <c r="R37" s="93">
        <v>1620</v>
      </c>
      <c r="S37" s="93">
        <v>2.86</v>
      </c>
      <c r="T37" s="93">
        <v>-61.6</v>
      </c>
      <c r="U37" s="93">
        <v>0</v>
      </c>
      <c r="V37" s="93">
        <v>0</v>
      </c>
      <c r="W37" s="93">
        <v>0</v>
      </c>
      <c r="X37" s="93">
        <v>557</v>
      </c>
      <c r="Y37" s="93">
        <v>1.21</v>
      </c>
      <c r="Z37" s="93">
        <v>-62.1</v>
      </c>
      <c r="AC37" s="93">
        <v>2</v>
      </c>
      <c r="AD37" s="93" t="s">
        <v>148</v>
      </c>
      <c r="AE37" s="93" t="s">
        <v>149</v>
      </c>
      <c r="AF37" s="93" t="s">
        <v>169</v>
      </c>
      <c r="AG37" s="93" t="s">
        <v>31</v>
      </c>
      <c r="AH37" s="93" t="s">
        <v>139</v>
      </c>
      <c r="AI37" s="93" t="s">
        <v>147</v>
      </c>
      <c r="AJ37" s="93" t="s">
        <v>37</v>
      </c>
      <c r="AK37" s="93" t="s">
        <v>152</v>
      </c>
      <c r="AM37" s="93" t="s">
        <v>37</v>
      </c>
      <c r="AN37" s="93" t="s">
        <v>153</v>
      </c>
      <c r="AO37" s="93" t="s">
        <v>154</v>
      </c>
      <c r="AP37" s="93" t="s">
        <v>155</v>
      </c>
      <c r="AQ37" s="113">
        <f>IF($E37="SCE",VLOOKUP($BB37,'[1]ESAF_&amp;_PDAF_Summary'!$B$4:$D$18,2,0),1)</f>
        <v>0.61629213483146073</v>
      </c>
      <c r="AR37" s="113">
        <f>IF($E37="SCE",VLOOKUP($BB37,'[1]ESAF_&amp;_PDAF_Summary'!$B$4:$D$18,3,0),1)</f>
        <v>0</v>
      </c>
      <c r="AS37" s="113">
        <f>IF($E37="SCE",VLOOKUP($BB37,'[1]ESAF_&amp;_PDAF_Summary'!$B$4:$E$18,4,0),1)</f>
        <v>0.75</v>
      </c>
      <c r="AT37" s="93">
        <f t="shared" si="1"/>
        <v>748.79494382022472</v>
      </c>
      <c r="AU37" s="93">
        <f t="shared" si="2"/>
        <v>0</v>
      </c>
      <c r="AV37" s="93">
        <v>0</v>
      </c>
      <c r="AW37" s="93">
        <f t="shared" si="6"/>
        <v>1616.47</v>
      </c>
      <c r="AY37" s="93">
        <f t="shared" si="8"/>
        <v>2205.6139217982204</v>
      </c>
      <c r="AZ37" s="98">
        <f>IF($E37="PGE",($AZ$4*$L37)+'[1]Water Costs'!I$16-AW37,IF($E37="SCE",$AZ$4+'[1]Water Costs'!$I$9,"N/A"))</f>
        <v>2205.6139217982204</v>
      </c>
      <c r="BA37" s="98"/>
      <c r="BB37" s="93">
        <f t="shared" si="0"/>
        <v>13</v>
      </c>
      <c r="BD37" s="93">
        <f t="shared" si="9"/>
        <v>257.45603932584277</v>
      </c>
      <c r="BE37" s="93">
        <f t="shared" si="10"/>
        <v>0</v>
      </c>
    </row>
    <row r="38" spans="1:57" hidden="1" x14ac:dyDescent="0.35">
      <c r="A38" s="93" t="s">
        <v>139</v>
      </c>
      <c r="B38" s="93" t="s">
        <v>140</v>
      </c>
      <c r="C38" s="93" t="s">
        <v>141</v>
      </c>
      <c r="D38" s="111">
        <v>40944</v>
      </c>
      <c r="E38" s="93" t="s">
        <v>31</v>
      </c>
      <c r="F38" s="93" t="s">
        <v>142</v>
      </c>
      <c r="G38" s="93" t="s">
        <v>143</v>
      </c>
      <c r="H38" s="93" t="s">
        <v>144</v>
      </c>
      <c r="I38" s="93" t="s">
        <v>184</v>
      </c>
      <c r="J38" s="102" t="str">
        <f t="shared" si="7"/>
        <v>DMoCZ14</v>
      </c>
      <c r="K38" s="93" t="s">
        <v>146</v>
      </c>
      <c r="L38" s="93">
        <v>1.24</v>
      </c>
      <c r="M38" s="93">
        <v>1240</v>
      </c>
      <c r="N38" s="93" t="s">
        <v>147</v>
      </c>
      <c r="O38" s="93">
        <v>0</v>
      </c>
      <c r="P38" s="93">
        <v>0</v>
      </c>
      <c r="Q38" s="93">
        <v>0</v>
      </c>
      <c r="R38" s="93">
        <v>1530</v>
      </c>
      <c r="S38" s="93">
        <v>3.23</v>
      </c>
      <c r="T38" s="93">
        <v>-82.2</v>
      </c>
      <c r="U38" s="93">
        <v>0</v>
      </c>
      <c r="V38" s="93">
        <v>0</v>
      </c>
      <c r="W38" s="93">
        <v>0</v>
      </c>
      <c r="X38" s="93">
        <v>670</v>
      </c>
      <c r="Y38" s="93">
        <v>1.58</v>
      </c>
      <c r="Z38" s="93">
        <v>-82.7</v>
      </c>
      <c r="AC38" s="93">
        <v>2</v>
      </c>
      <c r="AD38" s="93" t="s">
        <v>148</v>
      </c>
      <c r="AE38" s="93" t="s">
        <v>149</v>
      </c>
      <c r="AF38" s="93" t="s">
        <v>185</v>
      </c>
      <c r="AG38" s="93" t="s">
        <v>31</v>
      </c>
      <c r="AH38" s="93" t="s">
        <v>139</v>
      </c>
      <c r="AI38" s="93" t="s">
        <v>147</v>
      </c>
      <c r="AJ38" s="93" t="s">
        <v>37</v>
      </c>
      <c r="AK38" s="93" t="s">
        <v>152</v>
      </c>
      <c r="AM38" s="93" t="s">
        <v>37</v>
      </c>
      <c r="AN38" s="93" t="s">
        <v>153</v>
      </c>
      <c r="AO38" s="93" t="s">
        <v>154</v>
      </c>
      <c r="AP38" s="93" t="s">
        <v>155</v>
      </c>
      <c r="AQ38" s="113">
        <f>IF($E38="SCE",VLOOKUP($BB38,'[1]ESAF_&amp;_PDAF_Summary'!$B$4:$D$18,2,0),1)</f>
        <v>0.86996735582154516</v>
      </c>
      <c r="AR38" s="113">
        <f>IF($E38="SCE",VLOOKUP($BB38,'[1]ESAF_&amp;_PDAF_Summary'!$B$4:$D$18,3,0),1)</f>
        <v>0.88888888888888884</v>
      </c>
      <c r="AS38" s="113">
        <f>IF($E38="SCE",VLOOKUP($BB38,'[1]ESAF_&amp;_PDAF_Summary'!$B$4:$E$18,4,0),1)</f>
        <v>0.75</v>
      </c>
      <c r="AT38" s="93">
        <f t="shared" si="1"/>
        <v>998.2875408052231</v>
      </c>
      <c r="AU38" s="93">
        <f t="shared" si="2"/>
        <v>2.1533333333333333</v>
      </c>
      <c r="AV38" s="93">
        <v>0</v>
      </c>
      <c r="AW38" s="93">
        <f t="shared" si="6"/>
        <v>1616.47</v>
      </c>
      <c r="AY38" s="93">
        <f t="shared" si="8"/>
        <v>2205.6139217982204</v>
      </c>
      <c r="AZ38" s="98">
        <f>IF($E38="PGE",($AZ$4*$L38)+'[1]Water Costs'!I$16-AW38,IF($E38="SCE",$AZ$4+'[1]Water Costs'!$I$9,"N/A"))</f>
        <v>2205.6139217982204</v>
      </c>
      <c r="BA38" s="98"/>
      <c r="BB38" s="93">
        <f t="shared" si="0"/>
        <v>14</v>
      </c>
      <c r="BD38" s="93">
        <f t="shared" si="9"/>
        <v>437.15859630032639</v>
      </c>
      <c r="BE38" s="93">
        <f t="shared" si="10"/>
        <v>1.0533333333333332</v>
      </c>
    </row>
    <row r="39" spans="1:57" hidden="1" x14ac:dyDescent="0.35">
      <c r="A39" s="93" t="s">
        <v>139</v>
      </c>
      <c r="B39" s="93" t="s">
        <v>140</v>
      </c>
      <c r="C39" s="93" t="s">
        <v>141</v>
      </c>
      <c r="D39" s="111">
        <v>40944</v>
      </c>
      <c r="E39" s="93" t="s">
        <v>31</v>
      </c>
      <c r="F39" s="93" t="s">
        <v>142</v>
      </c>
      <c r="G39" s="93" t="s">
        <v>143</v>
      </c>
      <c r="H39" s="93" t="s">
        <v>144</v>
      </c>
      <c r="I39" s="93" t="s">
        <v>186</v>
      </c>
      <c r="J39" s="102" t="str">
        <f t="shared" si="7"/>
        <v>DMoCZ15</v>
      </c>
      <c r="K39" s="93" t="s">
        <v>146</v>
      </c>
      <c r="L39" s="93">
        <v>1.24</v>
      </c>
      <c r="M39" s="93">
        <v>1240</v>
      </c>
      <c r="N39" s="93" t="s">
        <v>147</v>
      </c>
      <c r="O39" s="93">
        <v>0</v>
      </c>
      <c r="P39" s="93">
        <v>0</v>
      </c>
      <c r="Q39" s="93">
        <v>0</v>
      </c>
      <c r="R39" s="93">
        <v>2450</v>
      </c>
      <c r="S39" s="93">
        <v>2.5499999999999998</v>
      </c>
      <c r="T39" s="93">
        <v>-29.4</v>
      </c>
      <c r="U39" s="93">
        <v>0</v>
      </c>
      <c r="V39" s="93">
        <v>0</v>
      </c>
      <c r="W39" s="93">
        <v>0</v>
      </c>
      <c r="X39" s="93">
        <v>1120</v>
      </c>
      <c r="Y39" s="93">
        <v>1.4</v>
      </c>
      <c r="Z39" s="93">
        <v>-29.6</v>
      </c>
      <c r="AC39" s="93">
        <v>2</v>
      </c>
      <c r="AD39" s="93" t="s">
        <v>148</v>
      </c>
      <c r="AE39" s="93" t="s">
        <v>149</v>
      </c>
      <c r="AF39" s="93" t="s">
        <v>187</v>
      </c>
      <c r="AG39" s="93" t="s">
        <v>31</v>
      </c>
      <c r="AH39" s="93" t="s">
        <v>139</v>
      </c>
      <c r="AI39" s="93" t="s">
        <v>147</v>
      </c>
      <c r="AJ39" s="93" t="s">
        <v>37</v>
      </c>
      <c r="AK39" s="93" t="s">
        <v>152</v>
      </c>
      <c r="AM39" s="93" t="s">
        <v>37</v>
      </c>
      <c r="AN39" s="93" t="s">
        <v>153</v>
      </c>
      <c r="AO39" s="93" t="s">
        <v>154</v>
      </c>
      <c r="AP39" s="93" t="s">
        <v>155</v>
      </c>
      <c r="AQ39" s="113">
        <f>IF($E39="SCE",VLOOKUP($BB39,'[1]ESAF_&amp;_PDAF_Summary'!$B$4:$D$18,2,0),1)</f>
        <v>0.54673423423423428</v>
      </c>
      <c r="AR39" s="113">
        <f>IF($E39="SCE",VLOOKUP($BB39,'[1]ESAF_&amp;_PDAF_Summary'!$B$4:$D$18,3,0),1)</f>
        <v>0.1111111111111111</v>
      </c>
      <c r="AS39" s="113">
        <f>IF($E39="SCE",VLOOKUP($BB39,'[1]ESAF_&amp;_PDAF_Summary'!$B$4:$E$18,4,0),1)</f>
        <v>0.75</v>
      </c>
      <c r="AT39" s="93">
        <f t="shared" si="1"/>
        <v>1004.6241554054054</v>
      </c>
      <c r="AU39" s="93">
        <f t="shared" si="2"/>
        <v>0.21249999999999997</v>
      </c>
      <c r="AV39" s="93">
        <v>0</v>
      </c>
      <c r="AW39" s="93">
        <f t="shared" si="6"/>
        <v>1616.47</v>
      </c>
      <c r="AY39" s="93">
        <f t="shared" si="8"/>
        <v>2205.6139217982204</v>
      </c>
      <c r="AZ39" s="98">
        <f>IF($E39="PGE",($AZ$4*$L39)+'[1]Water Costs'!I$16-AW39,IF($E39="SCE",$AZ$4+'[1]Water Costs'!$I$9,"N/A"))</f>
        <v>2205.6139217982204</v>
      </c>
      <c r="BA39" s="98"/>
      <c r="BB39" s="93">
        <f t="shared" si="0"/>
        <v>15</v>
      </c>
      <c r="BD39" s="93">
        <f t="shared" si="9"/>
        <v>459.25675675675677</v>
      </c>
      <c r="BE39" s="93">
        <f t="shared" si="10"/>
        <v>0.11666666666666664</v>
      </c>
    </row>
    <row r="40" spans="1:57" hidden="1" x14ac:dyDescent="0.35">
      <c r="A40" s="93" t="s">
        <v>139</v>
      </c>
      <c r="B40" s="93" t="s">
        <v>140</v>
      </c>
      <c r="C40" s="93" t="s">
        <v>141</v>
      </c>
      <c r="D40" s="111">
        <v>40944</v>
      </c>
      <c r="E40" s="93" t="s">
        <v>31</v>
      </c>
      <c r="F40" s="93" t="s">
        <v>142</v>
      </c>
      <c r="G40" s="93" t="s">
        <v>143</v>
      </c>
      <c r="H40" s="93" t="s">
        <v>144</v>
      </c>
      <c r="I40" s="93" t="s">
        <v>170</v>
      </c>
      <c r="J40" s="102" t="str">
        <f t="shared" si="7"/>
        <v>DMoCZ16</v>
      </c>
      <c r="K40" s="93" t="s">
        <v>146</v>
      </c>
      <c r="L40" s="93">
        <v>1.24</v>
      </c>
      <c r="M40" s="93">
        <v>1240</v>
      </c>
      <c r="N40" s="93" t="s">
        <v>147</v>
      </c>
      <c r="O40" s="93">
        <v>0</v>
      </c>
      <c r="P40" s="93">
        <v>0</v>
      </c>
      <c r="Q40" s="93">
        <v>0</v>
      </c>
      <c r="R40" s="93">
        <v>260</v>
      </c>
      <c r="S40" s="93">
        <v>3.08</v>
      </c>
      <c r="T40" s="93">
        <v>-167</v>
      </c>
      <c r="U40" s="93">
        <v>0</v>
      </c>
      <c r="V40" s="93">
        <v>0</v>
      </c>
      <c r="W40" s="93">
        <v>0</v>
      </c>
      <c r="X40" s="93">
        <v>3.01</v>
      </c>
      <c r="Y40" s="93">
        <v>1.41</v>
      </c>
      <c r="Z40" s="93">
        <v>-168</v>
      </c>
      <c r="AC40" s="93">
        <v>2</v>
      </c>
      <c r="AD40" s="93" t="s">
        <v>148</v>
      </c>
      <c r="AE40" s="93" t="s">
        <v>149</v>
      </c>
      <c r="AF40" s="93" t="s">
        <v>171</v>
      </c>
      <c r="AG40" s="93" t="s">
        <v>31</v>
      </c>
      <c r="AH40" s="93" t="s">
        <v>139</v>
      </c>
      <c r="AI40" s="93" t="s">
        <v>147</v>
      </c>
      <c r="AJ40" s="93" t="s">
        <v>37</v>
      </c>
      <c r="AK40" s="93" t="s">
        <v>152</v>
      </c>
      <c r="AM40" s="93" t="s">
        <v>37</v>
      </c>
      <c r="AN40" s="93" t="s">
        <v>153</v>
      </c>
      <c r="AO40" s="93" t="s">
        <v>154</v>
      </c>
      <c r="AP40" s="93" t="s">
        <v>155</v>
      </c>
      <c r="AQ40" s="113">
        <f>IF($E40="SCE",VLOOKUP($BB40,'[1]ESAF_&amp;_PDAF_Summary'!$B$4:$D$18,2,0),1)</f>
        <v>0.95767195767195767</v>
      </c>
      <c r="AR40" s="113">
        <f>IF($E40="SCE",VLOOKUP($BB40,'[1]ESAF_&amp;_PDAF_Summary'!$B$4:$D$18,3,0),1)</f>
        <v>0.88888888888888884</v>
      </c>
      <c r="AS40" s="113">
        <f>IF($E40="SCE",VLOOKUP($BB40,'[1]ESAF_&amp;_PDAF_Summary'!$B$4:$E$18,4,0),1)</f>
        <v>0.75</v>
      </c>
      <c r="AT40" s="93">
        <f t="shared" si="1"/>
        <v>186.74603174603175</v>
      </c>
      <c r="AU40" s="93">
        <f t="shared" si="2"/>
        <v>2.0533333333333332</v>
      </c>
      <c r="AV40" s="93">
        <v>0</v>
      </c>
      <c r="AW40" s="93">
        <f t="shared" si="6"/>
        <v>1616.47</v>
      </c>
      <c r="AY40" s="93">
        <f t="shared" si="8"/>
        <v>2205.6139217982204</v>
      </c>
      <c r="AZ40" s="98">
        <f>IF($E40="PGE",($AZ$4*$L40)+'[1]Water Costs'!I$16-AW40,IF($E40="SCE",$AZ$4+'[1]Water Costs'!$I$9,"N/A"))</f>
        <v>2205.6139217982204</v>
      </c>
      <c r="BA40" s="98"/>
      <c r="BB40" s="93">
        <f t="shared" si="0"/>
        <v>16</v>
      </c>
      <c r="BD40" s="93">
        <f t="shared" si="9"/>
        <v>2.1619444444444444</v>
      </c>
      <c r="BE40" s="93">
        <f t="shared" si="10"/>
        <v>0.94</v>
      </c>
    </row>
    <row r="41" spans="1:57" hidden="1" x14ac:dyDescent="0.35">
      <c r="A41" s="93" t="s">
        <v>139</v>
      </c>
      <c r="B41" s="93" t="s">
        <v>140</v>
      </c>
      <c r="C41" s="93" t="s">
        <v>141</v>
      </c>
      <c r="D41" s="111">
        <v>40944</v>
      </c>
      <c r="E41" s="93" t="s">
        <v>31</v>
      </c>
      <c r="F41" s="93" t="s">
        <v>172</v>
      </c>
      <c r="G41" s="93" t="s">
        <v>143</v>
      </c>
      <c r="H41" s="93" t="s">
        <v>144</v>
      </c>
      <c r="I41" s="93" t="s">
        <v>176</v>
      </c>
      <c r="J41" s="102" t="str">
        <f t="shared" si="7"/>
        <v>MFmCZ06</v>
      </c>
      <c r="K41" s="93" t="s">
        <v>146</v>
      </c>
      <c r="L41" s="93">
        <v>1</v>
      </c>
      <c r="M41" s="93">
        <v>1000</v>
      </c>
      <c r="N41" s="93" t="s">
        <v>147</v>
      </c>
      <c r="O41" s="93">
        <v>0</v>
      </c>
      <c r="P41" s="93">
        <v>0</v>
      </c>
      <c r="Q41" s="93">
        <v>0</v>
      </c>
      <c r="R41" s="93">
        <v>187</v>
      </c>
      <c r="S41" s="93">
        <v>1.02</v>
      </c>
      <c r="T41" s="93">
        <v>-5.52</v>
      </c>
      <c r="U41" s="93">
        <v>0</v>
      </c>
      <c r="V41" s="93">
        <v>0</v>
      </c>
      <c r="W41" s="93">
        <v>0</v>
      </c>
      <c r="X41" s="93">
        <v>100</v>
      </c>
      <c r="Y41" s="93">
        <v>0.57499999999999996</v>
      </c>
      <c r="Z41" s="93">
        <v>-5.82</v>
      </c>
      <c r="AC41" s="93">
        <v>2</v>
      </c>
      <c r="AD41" s="93" t="s">
        <v>173</v>
      </c>
      <c r="AE41" s="93" t="s">
        <v>149</v>
      </c>
      <c r="AF41" s="93" t="s">
        <v>177</v>
      </c>
      <c r="AG41" s="93" t="s">
        <v>31</v>
      </c>
      <c r="AH41" s="93" t="s">
        <v>139</v>
      </c>
      <c r="AI41" s="93" t="s">
        <v>147</v>
      </c>
      <c r="AJ41" s="93" t="s">
        <v>37</v>
      </c>
      <c r="AK41" s="93" t="s">
        <v>152</v>
      </c>
      <c r="AM41" s="93" t="s">
        <v>37</v>
      </c>
      <c r="AN41" s="93" t="s">
        <v>153</v>
      </c>
      <c r="AO41" s="93" t="s">
        <v>154</v>
      </c>
      <c r="AP41" s="93" t="s">
        <v>155</v>
      </c>
      <c r="AQ41" s="113">
        <f>IF($E41="SCE",VLOOKUP($BB41,'[1]ESAF_&amp;_PDAF_Summary'!$B$4:$D$18,2,0),1)</f>
        <v>0.56081081081081086</v>
      </c>
      <c r="AR41" s="113">
        <f>IF($E41="SCE",VLOOKUP($BB41,'[1]ESAF_&amp;_PDAF_Summary'!$B$4:$D$18,3,0),1)</f>
        <v>0.33333333333333331</v>
      </c>
      <c r="AS41" s="113">
        <f>IF($E41="SCE",VLOOKUP($BB41,'[1]ESAF_&amp;_PDAF_Summary'!$B$4:$E$18,4,0),1)</f>
        <v>0.75</v>
      </c>
      <c r="AT41" s="93">
        <f t="shared" si="1"/>
        <v>78.653716216216225</v>
      </c>
      <c r="AU41" s="93">
        <f t="shared" si="2"/>
        <v>0.255</v>
      </c>
      <c r="AV41" s="93">
        <v>0</v>
      </c>
      <c r="AW41" s="93">
        <f t="shared" si="6"/>
        <v>1616.47</v>
      </c>
      <c r="AY41" s="93">
        <f t="shared" si="8"/>
        <v>2205.6139217982204</v>
      </c>
      <c r="AZ41" s="98">
        <f>IF($E41="PGE",($AZ$4*$L41)+'[1]Water Costs'!I$16-AW41,IF($E41="SCE",$AZ$4+'[1]Water Costs'!$I$9,"N/A"))</f>
        <v>2205.6139217982204</v>
      </c>
      <c r="BA41" s="98"/>
      <c r="BB41" s="93">
        <f t="shared" si="0"/>
        <v>6</v>
      </c>
      <c r="BD41" s="93">
        <f t="shared" si="9"/>
        <v>42.060810810810814</v>
      </c>
      <c r="BE41" s="93">
        <f t="shared" si="10"/>
        <v>0.14374999999999999</v>
      </c>
    </row>
    <row r="42" spans="1:57" hidden="1" x14ac:dyDescent="0.35">
      <c r="A42" s="93" t="s">
        <v>139</v>
      </c>
      <c r="B42" s="93" t="s">
        <v>140</v>
      </c>
      <c r="C42" s="93" t="s">
        <v>141</v>
      </c>
      <c r="D42" s="111">
        <v>40944</v>
      </c>
      <c r="E42" s="93" t="s">
        <v>31</v>
      </c>
      <c r="F42" s="93" t="s">
        <v>172</v>
      </c>
      <c r="G42" s="93" t="s">
        <v>143</v>
      </c>
      <c r="H42" s="93" t="s">
        <v>144</v>
      </c>
      <c r="I42" s="93" t="s">
        <v>178</v>
      </c>
      <c r="J42" s="102" t="str">
        <f t="shared" si="7"/>
        <v>MFmCZ08</v>
      </c>
      <c r="K42" s="93" t="s">
        <v>146</v>
      </c>
      <c r="L42" s="93">
        <v>1.02</v>
      </c>
      <c r="M42" s="93">
        <v>1020</v>
      </c>
      <c r="N42" s="93" t="s">
        <v>147</v>
      </c>
      <c r="O42" s="93">
        <v>0</v>
      </c>
      <c r="P42" s="93">
        <v>0</v>
      </c>
      <c r="Q42" s="93">
        <v>0</v>
      </c>
      <c r="R42" s="93">
        <v>426</v>
      </c>
      <c r="S42" s="93">
        <v>1.06</v>
      </c>
      <c r="T42" s="93">
        <v>-4.97</v>
      </c>
      <c r="U42" s="93">
        <v>0</v>
      </c>
      <c r="V42" s="93">
        <v>0</v>
      </c>
      <c r="W42" s="93">
        <v>0</v>
      </c>
      <c r="X42" s="93">
        <v>229</v>
      </c>
      <c r="Y42" s="93">
        <v>0.69</v>
      </c>
      <c r="Z42" s="93">
        <v>-5.21</v>
      </c>
      <c r="AC42" s="93">
        <v>2</v>
      </c>
      <c r="AD42" s="93" t="s">
        <v>173</v>
      </c>
      <c r="AE42" s="93" t="s">
        <v>149</v>
      </c>
      <c r="AF42" s="93" t="s">
        <v>179</v>
      </c>
      <c r="AG42" s="93" t="s">
        <v>31</v>
      </c>
      <c r="AH42" s="93" t="s">
        <v>139</v>
      </c>
      <c r="AI42" s="93" t="s">
        <v>147</v>
      </c>
      <c r="AJ42" s="93" t="s">
        <v>37</v>
      </c>
      <c r="AK42" s="93" t="s">
        <v>152</v>
      </c>
      <c r="AM42" s="93" t="s">
        <v>37</v>
      </c>
      <c r="AN42" s="93" t="s">
        <v>153</v>
      </c>
      <c r="AO42" s="93" t="s">
        <v>154</v>
      </c>
      <c r="AP42" s="93" t="s">
        <v>155</v>
      </c>
      <c r="AQ42" s="113">
        <f>IF($E42="SCE",VLOOKUP($BB42,'[1]ESAF_&amp;_PDAF_Summary'!$B$4:$D$18,2,0),1)</f>
        <v>0.31993006993006995</v>
      </c>
      <c r="AR42" s="113">
        <f>IF($E42="SCE",VLOOKUP($BB42,'[1]ESAF_&amp;_PDAF_Summary'!$B$4:$D$18,3,0),1)</f>
        <v>0.22222222222222221</v>
      </c>
      <c r="AS42" s="113">
        <f>IF($E42="SCE",VLOOKUP($BB42,'[1]ESAF_&amp;_PDAF_Summary'!$B$4:$E$18,4,0),1)</f>
        <v>0.75</v>
      </c>
      <c r="AT42" s="93">
        <f t="shared" si="1"/>
        <v>102.21765734265733</v>
      </c>
      <c r="AU42" s="93">
        <f t="shared" si="2"/>
        <v>0.17666666666666667</v>
      </c>
      <c r="AV42" s="93">
        <v>0</v>
      </c>
      <c r="AW42" s="93">
        <f t="shared" si="6"/>
        <v>1616.47</v>
      </c>
      <c r="AY42" s="93">
        <f t="shared" si="8"/>
        <v>2205.6139217982204</v>
      </c>
      <c r="AZ42" s="98">
        <f>IF($E42="PGE",($AZ$4*$L42)+'[1]Water Costs'!I$16-AW42,IF($E42="SCE",$AZ$4+'[1]Water Costs'!$I$9,"N/A"))</f>
        <v>2205.6139217982204</v>
      </c>
      <c r="BA42" s="98"/>
      <c r="BB42" s="93">
        <f t="shared" si="0"/>
        <v>8</v>
      </c>
      <c r="BD42" s="93">
        <f t="shared" si="9"/>
        <v>54.947989510489506</v>
      </c>
      <c r="BE42" s="93">
        <f t="shared" si="10"/>
        <v>0.11499999999999999</v>
      </c>
    </row>
    <row r="43" spans="1:57" hidden="1" x14ac:dyDescent="0.35">
      <c r="A43" s="93" t="s">
        <v>139</v>
      </c>
      <c r="B43" s="93" t="s">
        <v>140</v>
      </c>
      <c r="C43" s="93" t="s">
        <v>141</v>
      </c>
      <c r="D43" s="111">
        <v>40944</v>
      </c>
      <c r="E43" s="93" t="s">
        <v>31</v>
      </c>
      <c r="F43" s="93" t="s">
        <v>172</v>
      </c>
      <c r="G43" s="93" t="s">
        <v>143</v>
      </c>
      <c r="H43" s="93" t="s">
        <v>144</v>
      </c>
      <c r="I43" s="93" t="s">
        <v>180</v>
      </c>
      <c r="J43" s="102" t="str">
        <f t="shared" si="7"/>
        <v>MFmCZ09</v>
      </c>
      <c r="K43" s="93" t="s">
        <v>146</v>
      </c>
      <c r="L43" s="93">
        <v>1.1499999999999999</v>
      </c>
      <c r="M43" s="93">
        <v>1150</v>
      </c>
      <c r="N43" s="93" t="s">
        <v>147</v>
      </c>
      <c r="O43" s="93">
        <v>0</v>
      </c>
      <c r="P43" s="93">
        <v>0</v>
      </c>
      <c r="Q43" s="93">
        <v>0</v>
      </c>
      <c r="R43" s="93">
        <v>581</v>
      </c>
      <c r="S43" s="93">
        <v>1.02</v>
      </c>
      <c r="T43" s="93">
        <v>-5.0999999999999996</v>
      </c>
      <c r="U43" s="93">
        <v>0</v>
      </c>
      <c r="V43" s="93">
        <v>0</v>
      </c>
      <c r="W43" s="93">
        <v>0</v>
      </c>
      <c r="X43" s="93">
        <v>308</v>
      </c>
      <c r="Y43" s="93">
        <v>0.65100000000000002</v>
      </c>
      <c r="Z43" s="93">
        <v>-5.34</v>
      </c>
      <c r="AC43" s="93">
        <v>2</v>
      </c>
      <c r="AD43" s="93" t="s">
        <v>173</v>
      </c>
      <c r="AE43" s="93" t="s">
        <v>149</v>
      </c>
      <c r="AF43" s="93" t="s">
        <v>181</v>
      </c>
      <c r="AG43" s="93" t="s">
        <v>31</v>
      </c>
      <c r="AH43" s="93" t="s">
        <v>139</v>
      </c>
      <c r="AI43" s="93" t="s">
        <v>147</v>
      </c>
      <c r="AJ43" s="93" t="s">
        <v>37</v>
      </c>
      <c r="AK43" s="93" t="s">
        <v>152</v>
      </c>
      <c r="AM43" s="93" t="s">
        <v>37</v>
      </c>
      <c r="AN43" s="93" t="s">
        <v>153</v>
      </c>
      <c r="AO43" s="93" t="s">
        <v>154</v>
      </c>
      <c r="AP43" s="93" t="s">
        <v>155</v>
      </c>
      <c r="AQ43" s="113">
        <f>IF($E43="SCE",VLOOKUP($BB43,'[1]ESAF_&amp;_PDAF_Summary'!$B$4:$D$18,2,0),1)</f>
        <v>0.26299376299376298</v>
      </c>
      <c r="AR43" s="113">
        <f>IF($E43="SCE",VLOOKUP($BB43,'[1]ESAF_&amp;_PDAF_Summary'!$B$4:$D$18,3,0),1)</f>
        <v>0</v>
      </c>
      <c r="AS43" s="113">
        <f>IF($E43="SCE",VLOOKUP($BB43,'[1]ESAF_&amp;_PDAF_Summary'!$B$4:$E$18,4,0),1)</f>
        <v>0.75</v>
      </c>
      <c r="AT43" s="93">
        <f t="shared" si="1"/>
        <v>114.59953222453223</v>
      </c>
      <c r="AU43" s="93">
        <f t="shared" si="2"/>
        <v>0</v>
      </c>
      <c r="AV43" s="93">
        <v>0</v>
      </c>
      <c r="AW43" s="93">
        <f t="shared" si="6"/>
        <v>1616.47</v>
      </c>
      <c r="AY43" s="93">
        <f t="shared" si="8"/>
        <v>2205.6139217982204</v>
      </c>
      <c r="AZ43" s="98">
        <f>IF($E43="PGE",($AZ$4*$L43)+'[1]Water Costs'!I$16-AW43,IF($E43="SCE",$AZ$4+'[1]Water Costs'!$I$9,"N/A"))</f>
        <v>2205.6139217982204</v>
      </c>
      <c r="BA43" s="98"/>
      <c r="BB43" s="93">
        <f t="shared" si="0"/>
        <v>9</v>
      </c>
      <c r="BD43" s="93">
        <f t="shared" si="9"/>
        <v>60.75155925155925</v>
      </c>
      <c r="BE43" s="93">
        <f t="shared" si="10"/>
        <v>0</v>
      </c>
    </row>
    <row r="44" spans="1:57" hidden="1" x14ac:dyDescent="0.35">
      <c r="A44" s="93" t="s">
        <v>139</v>
      </c>
      <c r="B44" s="93" t="s">
        <v>140</v>
      </c>
      <c r="C44" s="93" t="s">
        <v>141</v>
      </c>
      <c r="D44" s="111">
        <v>40944</v>
      </c>
      <c r="E44" s="93" t="s">
        <v>31</v>
      </c>
      <c r="F44" s="93" t="s">
        <v>172</v>
      </c>
      <c r="G44" s="93" t="s">
        <v>143</v>
      </c>
      <c r="H44" s="93" t="s">
        <v>144</v>
      </c>
      <c r="I44" s="93" t="s">
        <v>182</v>
      </c>
      <c r="J44" s="102" t="str">
        <f t="shared" si="7"/>
        <v>MFmCZ10</v>
      </c>
      <c r="K44" s="93" t="s">
        <v>146</v>
      </c>
      <c r="L44" s="93">
        <v>1.17</v>
      </c>
      <c r="M44" s="93">
        <v>1170</v>
      </c>
      <c r="N44" s="93" t="s">
        <v>147</v>
      </c>
      <c r="O44" s="93">
        <v>0</v>
      </c>
      <c r="P44" s="93">
        <v>0</v>
      </c>
      <c r="Q44" s="93">
        <v>0</v>
      </c>
      <c r="R44" s="93">
        <v>818</v>
      </c>
      <c r="S44" s="93">
        <v>1.19</v>
      </c>
      <c r="T44" s="93">
        <v>-7.56</v>
      </c>
      <c r="U44" s="93">
        <v>0</v>
      </c>
      <c r="V44" s="93">
        <v>0</v>
      </c>
      <c r="W44" s="93">
        <v>0</v>
      </c>
      <c r="X44" s="93">
        <v>450</v>
      </c>
      <c r="Y44" s="93">
        <v>0.75</v>
      </c>
      <c r="Z44" s="93">
        <v>-7.86</v>
      </c>
      <c r="AC44" s="93">
        <v>2</v>
      </c>
      <c r="AD44" s="93" t="s">
        <v>173</v>
      </c>
      <c r="AE44" s="93" t="s">
        <v>149</v>
      </c>
      <c r="AF44" s="93" t="s">
        <v>183</v>
      </c>
      <c r="AG44" s="93" t="s">
        <v>31</v>
      </c>
      <c r="AH44" s="93" t="s">
        <v>139</v>
      </c>
      <c r="AI44" s="93" t="s">
        <v>147</v>
      </c>
      <c r="AJ44" s="93" t="s">
        <v>37</v>
      </c>
      <c r="AK44" s="93" t="s">
        <v>152</v>
      </c>
      <c r="AM44" s="93" t="s">
        <v>37</v>
      </c>
      <c r="AN44" s="93" t="s">
        <v>153</v>
      </c>
      <c r="AO44" s="93" t="s">
        <v>154</v>
      </c>
      <c r="AP44" s="93" t="s">
        <v>155</v>
      </c>
      <c r="AQ44" s="113">
        <f>IF($E44="SCE",VLOOKUP($BB44,'[1]ESAF_&amp;_PDAF_Summary'!$B$4:$D$18,2,0),1)</f>
        <v>0.47858752817430505</v>
      </c>
      <c r="AR44" s="113">
        <f>IF($E44="SCE",VLOOKUP($BB44,'[1]ESAF_&amp;_PDAF_Summary'!$B$4:$D$18,3,0),1)</f>
        <v>0</v>
      </c>
      <c r="AS44" s="113">
        <f>IF($E44="SCE",VLOOKUP($BB44,'[1]ESAF_&amp;_PDAF_Summary'!$B$4:$E$18,4,0),1)</f>
        <v>0.75</v>
      </c>
      <c r="AT44" s="93">
        <f t="shared" si="1"/>
        <v>293.61344853493614</v>
      </c>
      <c r="AU44" s="93">
        <f t="shared" si="2"/>
        <v>0</v>
      </c>
      <c r="AV44" s="93">
        <v>0</v>
      </c>
      <c r="AW44" s="93">
        <f t="shared" si="6"/>
        <v>1616.47</v>
      </c>
      <c r="AY44" s="93">
        <f t="shared" si="8"/>
        <v>2205.6139217982204</v>
      </c>
      <c r="AZ44" s="98">
        <f>IF($E44="PGE",($AZ$4*$L44)+'[1]Water Costs'!I$16-AW44,IF($E44="SCE",$AZ$4+'[1]Water Costs'!$I$9,"N/A"))</f>
        <v>2205.6139217982204</v>
      </c>
      <c r="BA44" s="98"/>
      <c r="BB44" s="93">
        <f t="shared" si="0"/>
        <v>10</v>
      </c>
      <c r="BD44" s="93">
        <f t="shared" si="9"/>
        <v>161.52329075882795</v>
      </c>
      <c r="BE44" s="93">
        <f t="shared" si="10"/>
        <v>0</v>
      </c>
    </row>
    <row r="45" spans="1:57" hidden="1" x14ac:dyDescent="0.35">
      <c r="A45" s="93" t="s">
        <v>139</v>
      </c>
      <c r="B45" s="93" t="s">
        <v>140</v>
      </c>
      <c r="C45" s="93" t="s">
        <v>141</v>
      </c>
      <c r="D45" s="111">
        <v>40944</v>
      </c>
      <c r="E45" s="93" t="s">
        <v>31</v>
      </c>
      <c r="F45" s="93" t="s">
        <v>172</v>
      </c>
      <c r="G45" s="93" t="s">
        <v>143</v>
      </c>
      <c r="H45" s="93" t="s">
        <v>144</v>
      </c>
      <c r="I45" s="93" t="s">
        <v>168</v>
      </c>
      <c r="J45" s="102" t="str">
        <f t="shared" si="7"/>
        <v>MFmCZ13</v>
      </c>
      <c r="K45" s="93" t="s">
        <v>146</v>
      </c>
      <c r="L45" s="93">
        <v>0.98</v>
      </c>
      <c r="M45" s="93">
        <v>980</v>
      </c>
      <c r="N45" s="93" t="s">
        <v>147</v>
      </c>
      <c r="O45" s="93">
        <v>0</v>
      </c>
      <c r="P45" s="93">
        <v>0</v>
      </c>
      <c r="Q45" s="93">
        <v>0</v>
      </c>
      <c r="R45" s="93">
        <v>1010</v>
      </c>
      <c r="S45" s="93">
        <v>1.19</v>
      </c>
      <c r="T45" s="93">
        <v>-16.7</v>
      </c>
      <c r="U45" s="93">
        <v>0</v>
      </c>
      <c r="V45" s="93">
        <v>0</v>
      </c>
      <c r="W45" s="93">
        <v>0</v>
      </c>
      <c r="X45" s="93">
        <v>575</v>
      </c>
      <c r="Y45" s="93">
        <v>0.76400000000000001</v>
      </c>
      <c r="Z45" s="93">
        <v>-17.2</v>
      </c>
      <c r="AC45" s="93">
        <v>2</v>
      </c>
      <c r="AD45" s="93" t="s">
        <v>173</v>
      </c>
      <c r="AE45" s="93" t="s">
        <v>149</v>
      </c>
      <c r="AF45" s="93" t="s">
        <v>169</v>
      </c>
      <c r="AG45" s="93" t="s">
        <v>31</v>
      </c>
      <c r="AH45" s="93" t="s">
        <v>139</v>
      </c>
      <c r="AI45" s="93" t="s">
        <v>147</v>
      </c>
      <c r="AJ45" s="93" t="s">
        <v>37</v>
      </c>
      <c r="AK45" s="93" t="s">
        <v>152</v>
      </c>
      <c r="AM45" s="93" t="s">
        <v>37</v>
      </c>
      <c r="AN45" s="93" t="s">
        <v>153</v>
      </c>
      <c r="AO45" s="93" t="s">
        <v>154</v>
      </c>
      <c r="AP45" s="93" t="s">
        <v>155</v>
      </c>
      <c r="AQ45" s="113">
        <f>IF($E45="SCE",VLOOKUP($BB45,'[1]ESAF_&amp;_PDAF_Summary'!$B$4:$D$18,2,0),1)</f>
        <v>0.61629213483146073</v>
      </c>
      <c r="AR45" s="113">
        <f>IF($E45="SCE",VLOOKUP($BB45,'[1]ESAF_&amp;_PDAF_Summary'!$B$4:$D$18,3,0),1)</f>
        <v>0</v>
      </c>
      <c r="AS45" s="113">
        <f>IF($E45="SCE",VLOOKUP($BB45,'[1]ESAF_&amp;_PDAF_Summary'!$B$4:$E$18,4,0),1)</f>
        <v>0.75</v>
      </c>
      <c r="AT45" s="93">
        <f t="shared" si="1"/>
        <v>466.84129213483146</v>
      </c>
      <c r="AU45" s="93">
        <f t="shared" si="2"/>
        <v>0</v>
      </c>
      <c r="AV45" s="93">
        <v>0</v>
      </c>
      <c r="AW45" s="93">
        <f t="shared" si="6"/>
        <v>1616.47</v>
      </c>
      <c r="AY45" s="93">
        <f t="shared" si="8"/>
        <v>2205.6139217982204</v>
      </c>
      <c r="AZ45" s="98">
        <f>IF($E45="PGE",($AZ$4*$L45)+'[1]Water Costs'!I$16-AW45,IF($E45="SCE",$AZ$4+'[1]Water Costs'!$I$9,"N/A"))</f>
        <v>2205.6139217982204</v>
      </c>
      <c r="BA45" s="98"/>
      <c r="BB45" s="93">
        <f t="shared" si="0"/>
        <v>13</v>
      </c>
      <c r="BD45" s="93">
        <f t="shared" si="9"/>
        <v>265.77598314606746</v>
      </c>
      <c r="BE45" s="93">
        <f t="shared" si="10"/>
        <v>0</v>
      </c>
    </row>
    <row r="46" spans="1:57" hidden="1" x14ac:dyDescent="0.35">
      <c r="A46" s="93" t="s">
        <v>139</v>
      </c>
      <c r="B46" s="93" t="s">
        <v>140</v>
      </c>
      <c r="C46" s="93" t="s">
        <v>141</v>
      </c>
      <c r="D46" s="111">
        <v>40944</v>
      </c>
      <c r="E46" s="93" t="s">
        <v>31</v>
      </c>
      <c r="F46" s="93" t="s">
        <v>172</v>
      </c>
      <c r="G46" s="93" t="s">
        <v>143</v>
      </c>
      <c r="H46" s="93" t="s">
        <v>144</v>
      </c>
      <c r="I46" s="93" t="s">
        <v>184</v>
      </c>
      <c r="J46" s="102" t="str">
        <f t="shared" si="7"/>
        <v>MFmCZ14</v>
      </c>
      <c r="K46" s="93" t="s">
        <v>146</v>
      </c>
      <c r="L46" s="93">
        <v>1.25</v>
      </c>
      <c r="M46" s="93">
        <v>1250</v>
      </c>
      <c r="N46" s="93" t="s">
        <v>147</v>
      </c>
      <c r="O46" s="93">
        <v>0</v>
      </c>
      <c r="P46" s="93">
        <v>0</v>
      </c>
      <c r="Q46" s="93">
        <v>0</v>
      </c>
      <c r="R46" s="93">
        <v>973</v>
      </c>
      <c r="S46" s="93">
        <v>1.46</v>
      </c>
      <c r="T46" s="93">
        <v>-15</v>
      </c>
      <c r="U46" s="93">
        <v>0</v>
      </c>
      <c r="V46" s="93">
        <v>0</v>
      </c>
      <c r="W46" s="93">
        <v>0</v>
      </c>
      <c r="X46" s="93">
        <v>631</v>
      </c>
      <c r="Y46" s="93">
        <v>0.996</v>
      </c>
      <c r="Z46" s="93">
        <v>-15.4</v>
      </c>
      <c r="AC46" s="93">
        <v>2</v>
      </c>
      <c r="AD46" s="93" t="s">
        <v>173</v>
      </c>
      <c r="AE46" s="93" t="s">
        <v>149</v>
      </c>
      <c r="AF46" s="93" t="s">
        <v>185</v>
      </c>
      <c r="AG46" s="93" t="s">
        <v>31</v>
      </c>
      <c r="AH46" s="93" t="s">
        <v>139</v>
      </c>
      <c r="AI46" s="93" t="s">
        <v>147</v>
      </c>
      <c r="AJ46" s="93" t="s">
        <v>37</v>
      </c>
      <c r="AK46" s="93" t="s">
        <v>152</v>
      </c>
      <c r="AM46" s="93" t="s">
        <v>37</v>
      </c>
      <c r="AN46" s="93" t="s">
        <v>153</v>
      </c>
      <c r="AO46" s="93" t="s">
        <v>154</v>
      </c>
      <c r="AP46" s="93" t="s">
        <v>155</v>
      </c>
      <c r="AQ46" s="114">
        <f>IF($E46="SCE",VLOOKUP($BB46,'[1]ESAF_&amp;_PDAF_Summary'!$B$4:$D$18,2,0),1)</f>
        <v>0.86996735582154516</v>
      </c>
      <c r="AR46" s="113">
        <f>IF($E46="SCE",VLOOKUP($BB46,'[1]ESAF_&amp;_PDAF_Summary'!$B$4:$D$18,3,0),1)</f>
        <v>0.88888888888888884</v>
      </c>
      <c r="AS46" s="113">
        <f>IF($E46="SCE",VLOOKUP($BB46,'[1]ESAF_&amp;_PDAF_Summary'!$B$4:$E$18,4,0),1)</f>
        <v>0.75</v>
      </c>
      <c r="AT46" s="93">
        <f t="shared" si="1"/>
        <v>634.85867791077249</v>
      </c>
      <c r="AU46" s="95">
        <f t="shared" si="2"/>
        <v>0.97333333333333327</v>
      </c>
      <c r="AV46" s="93">
        <v>0</v>
      </c>
      <c r="AW46" s="93">
        <f t="shared" si="6"/>
        <v>1616.47</v>
      </c>
      <c r="AY46" s="93">
        <f t="shared" si="8"/>
        <v>2205.6139217982204</v>
      </c>
      <c r="AZ46" s="98">
        <f>IF($E46="PGE",($AZ$4*$L46)+'[1]Water Costs'!I$16-AW46,IF($E46="SCE",$AZ$4+'[1]Water Costs'!$I$9,"N/A"))</f>
        <v>2205.6139217982204</v>
      </c>
      <c r="BA46" s="98"/>
      <c r="BB46" s="93">
        <f t="shared" si="0"/>
        <v>14</v>
      </c>
      <c r="BD46" s="93">
        <f t="shared" si="9"/>
        <v>411.71205114254622</v>
      </c>
      <c r="BE46" s="93">
        <f t="shared" si="10"/>
        <v>0.66399999999999992</v>
      </c>
    </row>
    <row r="47" spans="1:57" hidden="1" x14ac:dyDescent="0.35">
      <c r="A47" s="93" t="s">
        <v>139</v>
      </c>
      <c r="B47" s="93" t="s">
        <v>140</v>
      </c>
      <c r="C47" s="93" t="s">
        <v>141</v>
      </c>
      <c r="D47" s="111">
        <v>40944</v>
      </c>
      <c r="E47" s="93" t="s">
        <v>31</v>
      </c>
      <c r="F47" s="93" t="s">
        <v>172</v>
      </c>
      <c r="G47" s="93" t="s">
        <v>143</v>
      </c>
      <c r="H47" s="93" t="s">
        <v>144</v>
      </c>
      <c r="I47" s="93" t="s">
        <v>186</v>
      </c>
      <c r="J47" s="102" t="str">
        <f t="shared" si="7"/>
        <v>MFmCZ15</v>
      </c>
      <c r="K47" s="93" t="s">
        <v>146</v>
      </c>
      <c r="L47" s="93">
        <v>1.24</v>
      </c>
      <c r="M47" s="93">
        <v>1240</v>
      </c>
      <c r="N47" s="93" t="s">
        <v>147</v>
      </c>
      <c r="O47" s="93">
        <v>0</v>
      </c>
      <c r="P47" s="93">
        <v>0</v>
      </c>
      <c r="Q47" s="93">
        <v>0</v>
      </c>
      <c r="R47" s="93">
        <v>1840</v>
      </c>
      <c r="S47" s="93">
        <v>1.47</v>
      </c>
      <c r="T47" s="93">
        <v>-3.71</v>
      </c>
      <c r="U47" s="93">
        <v>0</v>
      </c>
      <c r="V47" s="93">
        <v>0</v>
      </c>
      <c r="W47" s="93">
        <v>0</v>
      </c>
      <c r="X47" s="93">
        <v>1090</v>
      </c>
      <c r="Y47" s="93">
        <v>0.99</v>
      </c>
      <c r="Z47" s="93">
        <v>-3.86</v>
      </c>
      <c r="AC47" s="93">
        <v>2</v>
      </c>
      <c r="AD47" s="93" t="s">
        <v>173</v>
      </c>
      <c r="AE47" s="93" t="s">
        <v>149</v>
      </c>
      <c r="AF47" s="93" t="s">
        <v>187</v>
      </c>
      <c r="AG47" s="93" t="s">
        <v>31</v>
      </c>
      <c r="AH47" s="93" t="s">
        <v>139</v>
      </c>
      <c r="AI47" s="93" t="s">
        <v>147</v>
      </c>
      <c r="AJ47" s="93" t="s">
        <v>37</v>
      </c>
      <c r="AK47" s="93" t="s">
        <v>152</v>
      </c>
      <c r="AM47" s="93" t="s">
        <v>37</v>
      </c>
      <c r="AN47" s="93" t="s">
        <v>153</v>
      </c>
      <c r="AO47" s="93" t="s">
        <v>154</v>
      </c>
      <c r="AP47" s="93" t="s">
        <v>155</v>
      </c>
      <c r="AQ47" s="113">
        <f>IF($E47="SCE",VLOOKUP($BB47,'[1]ESAF_&amp;_PDAF_Summary'!$B$4:$D$18,2,0),1)</f>
        <v>0.54673423423423428</v>
      </c>
      <c r="AR47" s="113">
        <f>IF($E47="SCE",VLOOKUP($BB47,'[1]ESAF_&amp;_PDAF_Summary'!$B$4:$D$18,3,0),1)</f>
        <v>0.1111111111111111</v>
      </c>
      <c r="AS47" s="113">
        <f>IF($E47="SCE",VLOOKUP($BB47,'[1]ESAF_&amp;_PDAF_Summary'!$B$4:$E$18,4,0),1)</f>
        <v>0.75</v>
      </c>
      <c r="AT47" s="93">
        <f t="shared" si="1"/>
        <v>754.49324324324334</v>
      </c>
      <c r="AU47" s="95">
        <f t="shared" si="2"/>
        <v>0.1225</v>
      </c>
      <c r="AV47" s="93">
        <v>0</v>
      </c>
      <c r="AW47" s="93">
        <f t="shared" si="6"/>
        <v>1616.47</v>
      </c>
      <c r="AY47" s="93">
        <f t="shared" si="8"/>
        <v>2205.6139217982204</v>
      </c>
      <c r="AZ47" s="98">
        <f>IF($E47="PGE",($AZ$4*$L47)+'[1]Water Costs'!I$16-AW47,IF($E47="SCE",$AZ$4+'[1]Water Costs'!$I$9,"N/A"))</f>
        <v>2205.6139217982204</v>
      </c>
      <c r="BA47" s="98"/>
      <c r="BB47" s="93">
        <f t="shared" si="0"/>
        <v>15</v>
      </c>
      <c r="BD47" s="93">
        <f t="shared" si="9"/>
        <v>446.95523648648657</v>
      </c>
      <c r="BE47" s="93">
        <f t="shared" si="10"/>
        <v>8.249999999999999E-2</v>
      </c>
    </row>
    <row r="48" spans="1:57" hidden="1" x14ac:dyDescent="0.35">
      <c r="A48" s="93" t="s">
        <v>139</v>
      </c>
      <c r="B48" s="93" t="s">
        <v>140</v>
      </c>
      <c r="C48" s="93" t="s">
        <v>141</v>
      </c>
      <c r="D48" s="111">
        <v>40944</v>
      </c>
      <c r="E48" s="93" t="s">
        <v>31</v>
      </c>
      <c r="F48" s="93" t="s">
        <v>172</v>
      </c>
      <c r="G48" s="93" t="s">
        <v>143</v>
      </c>
      <c r="H48" s="93" t="s">
        <v>144</v>
      </c>
      <c r="I48" s="93" t="s">
        <v>170</v>
      </c>
      <c r="J48" s="102" t="str">
        <f t="shared" si="7"/>
        <v>MFmCZ16</v>
      </c>
      <c r="K48" s="93" t="s">
        <v>146</v>
      </c>
      <c r="L48" s="93">
        <v>0.98199999999999998</v>
      </c>
      <c r="M48" s="93">
        <v>982</v>
      </c>
      <c r="N48" s="93" t="s">
        <v>147</v>
      </c>
      <c r="O48" s="93">
        <v>0</v>
      </c>
      <c r="P48" s="93">
        <v>0</v>
      </c>
      <c r="Q48" s="93">
        <v>0</v>
      </c>
      <c r="R48" s="93">
        <v>264</v>
      </c>
      <c r="S48" s="93">
        <v>1.1200000000000001</v>
      </c>
      <c r="T48" s="93">
        <v>-36.5</v>
      </c>
      <c r="U48" s="93">
        <v>0</v>
      </c>
      <c r="V48" s="93">
        <v>0</v>
      </c>
      <c r="W48" s="93">
        <v>0</v>
      </c>
      <c r="X48" s="93">
        <v>141</v>
      </c>
      <c r="Y48" s="93">
        <v>0.70399999999999996</v>
      </c>
      <c r="Z48" s="93">
        <v>-37.6</v>
      </c>
      <c r="AC48" s="93">
        <v>2</v>
      </c>
      <c r="AD48" s="93" t="s">
        <v>173</v>
      </c>
      <c r="AE48" s="93" t="s">
        <v>149</v>
      </c>
      <c r="AF48" s="93" t="s">
        <v>171</v>
      </c>
      <c r="AG48" s="93" t="s">
        <v>31</v>
      </c>
      <c r="AH48" s="93" t="s">
        <v>139</v>
      </c>
      <c r="AI48" s="93" t="s">
        <v>147</v>
      </c>
      <c r="AJ48" s="93" t="s">
        <v>37</v>
      </c>
      <c r="AK48" s="93" t="s">
        <v>152</v>
      </c>
      <c r="AM48" s="93" t="s">
        <v>37</v>
      </c>
      <c r="AN48" s="93" t="s">
        <v>153</v>
      </c>
      <c r="AO48" s="93" t="s">
        <v>154</v>
      </c>
      <c r="AP48" s="93" t="s">
        <v>155</v>
      </c>
      <c r="AQ48" s="113">
        <f>IF($E48="SCE",VLOOKUP($BB48,'[1]ESAF_&amp;_PDAF_Summary'!$B$4:$D$18,2,0),1)</f>
        <v>0.95767195767195767</v>
      </c>
      <c r="AR48" s="113">
        <f>IF($E48="SCE",VLOOKUP($BB48,'[1]ESAF_&amp;_PDAF_Summary'!$B$4:$D$18,3,0),1)</f>
        <v>0.88888888888888884</v>
      </c>
      <c r="AS48" s="113">
        <f>IF($E48="SCE",VLOOKUP($BB48,'[1]ESAF_&amp;_PDAF_Summary'!$B$4:$E$18,4,0),1)</f>
        <v>0.75</v>
      </c>
      <c r="AT48" s="93">
        <f t="shared" si="1"/>
        <v>189.61904761904762</v>
      </c>
      <c r="AU48" s="95">
        <f t="shared" si="2"/>
        <v>0.7466666666666667</v>
      </c>
      <c r="AV48" s="93">
        <v>0</v>
      </c>
      <c r="AW48" s="93">
        <f t="shared" si="6"/>
        <v>1616.47</v>
      </c>
      <c r="AY48" s="93">
        <f t="shared" si="8"/>
        <v>2205.6139217982204</v>
      </c>
      <c r="AZ48" s="98">
        <f>IF($E48="PGE",($AZ$4*$L48)+'[1]Water Costs'!I$16-AW48,IF($E48="SCE",$AZ$4+'[1]Water Costs'!$I$9,"N/A"))</f>
        <v>2205.6139217982204</v>
      </c>
      <c r="BA48" s="98"/>
      <c r="BB48" s="93">
        <f t="shared" si="0"/>
        <v>16</v>
      </c>
      <c r="BD48" s="93">
        <f t="shared" si="9"/>
        <v>101.27380952380952</v>
      </c>
      <c r="BE48" s="93">
        <f t="shared" si="10"/>
        <v>0.46933333333333327</v>
      </c>
    </row>
    <row r="49" spans="1:57" hidden="1" x14ac:dyDescent="0.35">
      <c r="A49" s="93" t="s">
        <v>139</v>
      </c>
      <c r="B49" s="93" t="s">
        <v>140</v>
      </c>
      <c r="C49" s="93" t="s">
        <v>141</v>
      </c>
      <c r="D49" s="111">
        <v>40944</v>
      </c>
      <c r="E49" s="93" t="s">
        <v>31</v>
      </c>
      <c r="F49" s="93" t="s">
        <v>174</v>
      </c>
      <c r="G49" s="93" t="s">
        <v>143</v>
      </c>
      <c r="H49" s="93" t="s">
        <v>144</v>
      </c>
      <c r="I49" s="93" t="s">
        <v>176</v>
      </c>
      <c r="J49" s="102" t="str">
        <f t="shared" si="7"/>
        <v>SFmCZ06</v>
      </c>
      <c r="K49" s="93" t="s">
        <v>146</v>
      </c>
      <c r="L49" s="93">
        <v>1.71</v>
      </c>
      <c r="M49" s="93">
        <v>1710</v>
      </c>
      <c r="N49" s="93" t="s">
        <v>147</v>
      </c>
      <c r="O49" s="93">
        <v>0</v>
      </c>
      <c r="P49" s="93">
        <v>0</v>
      </c>
      <c r="Q49" s="93">
        <v>0</v>
      </c>
      <c r="R49" s="93">
        <v>343</v>
      </c>
      <c r="S49" s="93">
        <v>1.33</v>
      </c>
      <c r="T49" s="93">
        <v>-28</v>
      </c>
      <c r="U49" s="93">
        <v>0</v>
      </c>
      <c r="V49" s="93">
        <v>0</v>
      </c>
      <c r="W49" s="93">
        <v>0</v>
      </c>
      <c r="X49" s="93">
        <v>182</v>
      </c>
      <c r="Y49" s="93">
        <v>0.77300000000000002</v>
      </c>
      <c r="Z49" s="93">
        <v>-28.3</v>
      </c>
      <c r="AC49" s="93">
        <v>2</v>
      </c>
      <c r="AD49" s="93" t="s">
        <v>175</v>
      </c>
      <c r="AE49" s="93" t="s">
        <v>149</v>
      </c>
      <c r="AF49" s="93" t="s">
        <v>177</v>
      </c>
      <c r="AG49" s="93" t="s">
        <v>31</v>
      </c>
      <c r="AH49" s="93" t="s">
        <v>139</v>
      </c>
      <c r="AI49" s="93" t="s">
        <v>147</v>
      </c>
      <c r="AJ49" s="93" t="s">
        <v>37</v>
      </c>
      <c r="AK49" s="93" t="s">
        <v>152</v>
      </c>
      <c r="AM49" s="93" t="s">
        <v>37</v>
      </c>
      <c r="AN49" s="93" t="s">
        <v>153</v>
      </c>
      <c r="AO49" s="93" t="s">
        <v>154</v>
      </c>
      <c r="AP49" s="93" t="s">
        <v>155</v>
      </c>
      <c r="AQ49" s="113">
        <f>IF($E49="SCE",VLOOKUP($BB49,'[1]ESAF_&amp;_PDAF_Summary'!$B$4:$D$18,2,0),1)</f>
        <v>0.56081081081081086</v>
      </c>
      <c r="AR49" s="113">
        <f>IF($E49="SCE",VLOOKUP($BB49,'[1]ESAF_&amp;_PDAF_Summary'!$B$4:$D$18,3,0),1)</f>
        <v>0.33333333333333331</v>
      </c>
      <c r="AS49" s="113">
        <f>IF($E49="SCE",VLOOKUP($BB49,'[1]ESAF_&amp;_PDAF_Summary'!$B$4:$E$18,4,0),1)</f>
        <v>0.75</v>
      </c>
      <c r="AT49" s="93">
        <f t="shared" si="1"/>
        <v>144.26858108108109</v>
      </c>
      <c r="AU49" s="93">
        <f t="shared" si="2"/>
        <v>0.33250000000000002</v>
      </c>
      <c r="AV49" s="93">
        <v>0</v>
      </c>
      <c r="AW49" s="93">
        <f t="shared" si="6"/>
        <v>1616.47</v>
      </c>
      <c r="AY49" s="93">
        <f t="shared" si="8"/>
        <v>2205.6139217982204</v>
      </c>
      <c r="AZ49" s="98">
        <f>IF($E49="PGE",($AZ$4*$L49)+'[1]Water Costs'!I$16-AW49,IF($E49="SCE",$AZ$4+'[1]Water Costs'!$I$9,"N/A"))</f>
        <v>2205.6139217982204</v>
      </c>
      <c r="BA49" s="98"/>
      <c r="BB49" s="93">
        <f t="shared" si="0"/>
        <v>6</v>
      </c>
      <c r="BD49" s="93">
        <f t="shared" si="9"/>
        <v>76.550675675675677</v>
      </c>
      <c r="BE49" s="93">
        <f t="shared" si="10"/>
        <v>0.19324999999999998</v>
      </c>
    </row>
    <row r="50" spans="1:57" hidden="1" x14ac:dyDescent="0.35">
      <c r="A50" s="93" t="s">
        <v>139</v>
      </c>
      <c r="B50" s="93" t="s">
        <v>140</v>
      </c>
      <c r="C50" s="93" t="s">
        <v>141</v>
      </c>
      <c r="D50" s="111">
        <v>40944</v>
      </c>
      <c r="E50" s="93" t="s">
        <v>31</v>
      </c>
      <c r="F50" s="93" t="s">
        <v>174</v>
      </c>
      <c r="G50" s="93" t="s">
        <v>143</v>
      </c>
      <c r="H50" s="93" t="s">
        <v>144</v>
      </c>
      <c r="I50" s="93" t="s">
        <v>178</v>
      </c>
      <c r="J50" s="102" t="str">
        <f t="shared" si="7"/>
        <v>SFmCZ08</v>
      </c>
      <c r="K50" s="93" t="s">
        <v>146</v>
      </c>
      <c r="L50" s="93">
        <v>1.65</v>
      </c>
      <c r="M50" s="93">
        <v>1650</v>
      </c>
      <c r="N50" s="93" t="s">
        <v>147</v>
      </c>
      <c r="O50" s="93">
        <v>0</v>
      </c>
      <c r="P50" s="93">
        <v>0</v>
      </c>
      <c r="Q50" s="93">
        <v>0</v>
      </c>
      <c r="R50" s="93">
        <v>771</v>
      </c>
      <c r="S50" s="93">
        <v>1.45</v>
      </c>
      <c r="T50" s="93">
        <v>-27.9</v>
      </c>
      <c r="U50" s="93">
        <v>0</v>
      </c>
      <c r="V50" s="93">
        <v>0</v>
      </c>
      <c r="W50" s="93">
        <v>0</v>
      </c>
      <c r="X50" s="93">
        <v>405</v>
      </c>
      <c r="Y50" s="93">
        <v>0.95299999999999996</v>
      </c>
      <c r="Z50" s="93">
        <v>-28.2</v>
      </c>
      <c r="AC50" s="93">
        <v>2</v>
      </c>
      <c r="AD50" s="93" t="s">
        <v>175</v>
      </c>
      <c r="AE50" s="93" t="s">
        <v>149</v>
      </c>
      <c r="AF50" s="93" t="s">
        <v>179</v>
      </c>
      <c r="AG50" s="93" t="s">
        <v>31</v>
      </c>
      <c r="AH50" s="93" t="s">
        <v>139</v>
      </c>
      <c r="AI50" s="93" t="s">
        <v>147</v>
      </c>
      <c r="AJ50" s="93" t="s">
        <v>37</v>
      </c>
      <c r="AK50" s="93" t="s">
        <v>152</v>
      </c>
      <c r="AM50" s="93" t="s">
        <v>37</v>
      </c>
      <c r="AN50" s="93" t="s">
        <v>153</v>
      </c>
      <c r="AO50" s="93" t="s">
        <v>154</v>
      </c>
      <c r="AP50" s="93" t="s">
        <v>155</v>
      </c>
      <c r="AQ50" s="113">
        <f>IF($E50="SCE",VLOOKUP($BB50,'[1]ESAF_&amp;_PDAF_Summary'!$B$4:$D$18,2,0),1)</f>
        <v>0.31993006993006995</v>
      </c>
      <c r="AR50" s="113">
        <f>IF($E50="SCE",VLOOKUP($BB50,'[1]ESAF_&amp;_PDAF_Summary'!$B$4:$D$18,3,0),1)</f>
        <v>0.22222222222222221</v>
      </c>
      <c r="AS50" s="113">
        <f>IF($E50="SCE",VLOOKUP($BB50,'[1]ESAF_&amp;_PDAF_Summary'!$B$4:$E$18,4,0),1)</f>
        <v>0.75</v>
      </c>
      <c r="AT50" s="93">
        <f t="shared" si="1"/>
        <v>184.99956293706293</v>
      </c>
      <c r="AU50" s="93">
        <f t="shared" si="2"/>
        <v>0.24166666666666664</v>
      </c>
      <c r="AV50" s="93">
        <v>0</v>
      </c>
      <c r="AW50" s="93">
        <f t="shared" si="6"/>
        <v>1616.47</v>
      </c>
      <c r="AY50" s="93">
        <f t="shared" si="8"/>
        <v>2205.6139217982204</v>
      </c>
      <c r="AZ50" s="98">
        <f>IF($E50="PGE",($AZ$4*$L50)+'[1]Water Costs'!I$16-AW50,IF($E50="SCE",$AZ$4+'[1]Water Costs'!$I$9,"N/A"))</f>
        <v>2205.6139217982204</v>
      </c>
      <c r="BA50" s="98"/>
      <c r="BB50" s="93">
        <f t="shared" si="0"/>
        <v>8</v>
      </c>
      <c r="BD50" s="93">
        <f t="shared" si="9"/>
        <v>97.178758741258747</v>
      </c>
      <c r="BE50" s="93">
        <f t="shared" si="10"/>
        <v>0.15883333333333333</v>
      </c>
    </row>
    <row r="51" spans="1:57" hidden="1" x14ac:dyDescent="0.35">
      <c r="A51" s="93" t="s">
        <v>139</v>
      </c>
      <c r="B51" s="93" t="s">
        <v>140</v>
      </c>
      <c r="C51" s="93" t="s">
        <v>141</v>
      </c>
      <c r="D51" s="111">
        <v>40944</v>
      </c>
      <c r="E51" s="93" t="s">
        <v>31</v>
      </c>
      <c r="F51" s="93" t="s">
        <v>174</v>
      </c>
      <c r="G51" s="93" t="s">
        <v>143</v>
      </c>
      <c r="H51" s="93" t="s">
        <v>144</v>
      </c>
      <c r="I51" s="93" t="s">
        <v>180</v>
      </c>
      <c r="J51" s="102" t="str">
        <f t="shared" si="7"/>
        <v>SFmCZ09</v>
      </c>
      <c r="K51" s="93" t="s">
        <v>146</v>
      </c>
      <c r="L51" s="93">
        <v>1.72</v>
      </c>
      <c r="M51" s="93">
        <v>1720</v>
      </c>
      <c r="N51" s="93" t="s">
        <v>147</v>
      </c>
      <c r="O51" s="93">
        <v>0</v>
      </c>
      <c r="P51" s="93">
        <v>0</v>
      </c>
      <c r="Q51" s="93">
        <v>0</v>
      </c>
      <c r="R51" s="93">
        <v>898</v>
      </c>
      <c r="S51" s="93">
        <v>1.4</v>
      </c>
      <c r="T51" s="93">
        <v>-29.6</v>
      </c>
      <c r="U51" s="93">
        <v>0</v>
      </c>
      <c r="V51" s="93">
        <v>0</v>
      </c>
      <c r="W51" s="93">
        <v>0</v>
      </c>
      <c r="X51" s="93">
        <v>467</v>
      </c>
      <c r="Y51" s="93">
        <v>0.84099999999999997</v>
      </c>
      <c r="Z51" s="93">
        <v>-30</v>
      </c>
      <c r="AC51" s="93">
        <v>2</v>
      </c>
      <c r="AD51" s="93" t="s">
        <v>175</v>
      </c>
      <c r="AE51" s="93" t="s">
        <v>149</v>
      </c>
      <c r="AF51" s="93" t="s">
        <v>181</v>
      </c>
      <c r="AG51" s="93" t="s">
        <v>31</v>
      </c>
      <c r="AH51" s="93" t="s">
        <v>139</v>
      </c>
      <c r="AI51" s="93" t="s">
        <v>147</v>
      </c>
      <c r="AJ51" s="93" t="s">
        <v>37</v>
      </c>
      <c r="AK51" s="93" t="s">
        <v>152</v>
      </c>
      <c r="AM51" s="93" t="s">
        <v>37</v>
      </c>
      <c r="AN51" s="93" t="s">
        <v>153</v>
      </c>
      <c r="AO51" s="93" t="s">
        <v>154</v>
      </c>
      <c r="AP51" s="93" t="s">
        <v>155</v>
      </c>
      <c r="AQ51" s="113">
        <f>IF($E51="SCE",VLOOKUP($BB51,'[1]ESAF_&amp;_PDAF_Summary'!$B$4:$D$18,2,0),1)</f>
        <v>0.26299376299376298</v>
      </c>
      <c r="AR51" s="113">
        <f>IF($E51="SCE",VLOOKUP($BB51,'[1]ESAF_&amp;_PDAF_Summary'!$B$4:$D$18,3,0),1)</f>
        <v>0</v>
      </c>
      <c r="AS51" s="113">
        <f>IF($E51="SCE",VLOOKUP($BB51,'[1]ESAF_&amp;_PDAF_Summary'!$B$4:$E$18,4,0),1)</f>
        <v>0.75</v>
      </c>
      <c r="AT51" s="93">
        <f t="shared" si="1"/>
        <v>177.12629937629936</v>
      </c>
      <c r="AU51" s="95">
        <f t="shared" si="2"/>
        <v>0</v>
      </c>
      <c r="AV51" s="93">
        <v>0</v>
      </c>
      <c r="AW51" s="93">
        <f t="shared" si="6"/>
        <v>1616.47</v>
      </c>
      <c r="AY51" s="93">
        <f t="shared" si="8"/>
        <v>2205.6139217982204</v>
      </c>
      <c r="AZ51" s="98">
        <f>IF($E51="PGE",($AZ$4*$L51)+'[1]Water Costs'!I$16-AW51,IF($E51="SCE",$AZ$4+'[1]Water Costs'!$I$9,"N/A"))</f>
        <v>2205.6139217982204</v>
      </c>
      <c r="BA51" s="98"/>
      <c r="BB51" s="93">
        <f t="shared" si="0"/>
        <v>9</v>
      </c>
      <c r="BD51" s="93">
        <f t="shared" si="9"/>
        <v>92.113565488565484</v>
      </c>
      <c r="BE51" s="93">
        <f t="shared" si="10"/>
        <v>0</v>
      </c>
    </row>
    <row r="52" spans="1:57" hidden="1" x14ac:dyDescent="0.35">
      <c r="A52" s="93" t="s">
        <v>139</v>
      </c>
      <c r="B52" s="93" t="s">
        <v>140</v>
      </c>
      <c r="C52" s="93" t="s">
        <v>141</v>
      </c>
      <c r="D52" s="111">
        <v>40944</v>
      </c>
      <c r="E52" s="93" t="s">
        <v>31</v>
      </c>
      <c r="F52" s="93" t="s">
        <v>174</v>
      </c>
      <c r="G52" s="93" t="s">
        <v>143</v>
      </c>
      <c r="H52" s="93" t="s">
        <v>144</v>
      </c>
      <c r="I52" s="93" t="s">
        <v>182</v>
      </c>
      <c r="J52" s="102" t="str">
        <f t="shared" si="7"/>
        <v>SFmCZ10</v>
      </c>
      <c r="K52" s="93" t="s">
        <v>146</v>
      </c>
      <c r="L52" s="93">
        <v>1.84</v>
      </c>
      <c r="M52" s="93">
        <v>1840</v>
      </c>
      <c r="N52" s="93" t="s">
        <v>147</v>
      </c>
      <c r="O52" s="93">
        <v>0</v>
      </c>
      <c r="P52" s="93">
        <v>0</v>
      </c>
      <c r="Q52" s="93">
        <v>0</v>
      </c>
      <c r="R52" s="93">
        <v>904</v>
      </c>
      <c r="S52" s="93">
        <v>1.33</v>
      </c>
      <c r="T52" s="93">
        <v>-28.5</v>
      </c>
      <c r="U52" s="93">
        <v>0</v>
      </c>
      <c r="V52" s="93">
        <v>0</v>
      </c>
      <c r="W52" s="93">
        <v>0</v>
      </c>
      <c r="X52" s="93">
        <v>517</v>
      </c>
      <c r="Y52" s="93">
        <v>0.85499999999999998</v>
      </c>
      <c r="Z52" s="93">
        <v>-28.8</v>
      </c>
      <c r="AC52" s="93">
        <v>2</v>
      </c>
      <c r="AD52" s="93" t="s">
        <v>175</v>
      </c>
      <c r="AE52" s="93" t="s">
        <v>149</v>
      </c>
      <c r="AF52" s="93" t="s">
        <v>183</v>
      </c>
      <c r="AG52" s="93" t="s">
        <v>31</v>
      </c>
      <c r="AH52" s="93" t="s">
        <v>139</v>
      </c>
      <c r="AI52" s="93" t="s">
        <v>147</v>
      </c>
      <c r="AJ52" s="93" t="s">
        <v>37</v>
      </c>
      <c r="AK52" s="93" t="s">
        <v>152</v>
      </c>
      <c r="AM52" s="93" t="s">
        <v>37</v>
      </c>
      <c r="AN52" s="93" t="s">
        <v>153</v>
      </c>
      <c r="AO52" s="93" t="s">
        <v>154</v>
      </c>
      <c r="AP52" s="93" t="s">
        <v>155</v>
      </c>
      <c r="AQ52" s="113">
        <f>IF($E52="SCE",VLOOKUP($BB52,'[1]ESAF_&amp;_PDAF_Summary'!$B$4:$D$18,2,0),1)</f>
        <v>0.47858752817430505</v>
      </c>
      <c r="AR52" s="113">
        <f>IF($E52="SCE",VLOOKUP($BB52,'[1]ESAF_&amp;_PDAF_Summary'!$B$4:$D$18,3,0),1)</f>
        <v>0</v>
      </c>
      <c r="AS52" s="113">
        <f>IF($E52="SCE",VLOOKUP($BB52,'[1]ESAF_&amp;_PDAF_Summary'!$B$4:$E$18,4,0),1)</f>
        <v>0.75</v>
      </c>
      <c r="AT52" s="93">
        <f t="shared" si="1"/>
        <v>324.48234410217884</v>
      </c>
      <c r="AU52" s="95">
        <f t="shared" si="2"/>
        <v>0</v>
      </c>
      <c r="AV52" s="93">
        <v>0</v>
      </c>
      <c r="AW52" s="93">
        <f t="shared" si="6"/>
        <v>1616.47</v>
      </c>
      <c r="AY52" s="93">
        <f t="shared" si="8"/>
        <v>2205.6139217982204</v>
      </c>
      <c r="AZ52" s="98">
        <f>IF($E52="PGE",($AZ$4*$L52)+'[1]Water Costs'!I$16-AW52,IF($E52="SCE",$AZ$4+'[1]Water Costs'!$I$9,"N/A"))</f>
        <v>2205.6139217982204</v>
      </c>
      <c r="BA52" s="98"/>
      <c r="BB52" s="93">
        <f t="shared" si="0"/>
        <v>10</v>
      </c>
      <c r="BD52" s="93">
        <f t="shared" si="9"/>
        <v>185.57231404958679</v>
      </c>
      <c r="BE52" s="93">
        <f t="shared" si="10"/>
        <v>0</v>
      </c>
    </row>
    <row r="53" spans="1:57" hidden="1" x14ac:dyDescent="0.35">
      <c r="A53" s="93" t="s">
        <v>139</v>
      </c>
      <c r="B53" s="93" t="s">
        <v>140</v>
      </c>
      <c r="C53" s="93" t="s">
        <v>141</v>
      </c>
      <c r="D53" s="111">
        <v>40944</v>
      </c>
      <c r="E53" s="93" t="s">
        <v>31</v>
      </c>
      <c r="F53" s="93" t="s">
        <v>174</v>
      </c>
      <c r="G53" s="93" t="s">
        <v>143</v>
      </c>
      <c r="H53" s="93" t="s">
        <v>144</v>
      </c>
      <c r="I53" s="93" t="s">
        <v>168</v>
      </c>
      <c r="J53" s="102" t="str">
        <f t="shared" si="7"/>
        <v>SFmCZ13</v>
      </c>
      <c r="K53" s="93" t="s">
        <v>146</v>
      </c>
      <c r="L53" s="93">
        <v>1.72</v>
      </c>
      <c r="M53" s="93">
        <v>1720</v>
      </c>
      <c r="N53" s="93" t="s">
        <v>147</v>
      </c>
      <c r="O53" s="93">
        <v>0</v>
      </c>
      <c r="P53" s="93">
        <v>0</v>
      </c>
      <c r="Q53" s="93">
        <v>0</v>
      </c>
      <c r="R53" s="93">
        <v>1190</v>
      </c>
      <c r="S53" s="93">
        <v>1.41</v>
      </c>
      <c r="T53" s="93">
        <v>-37.4</v>
      </c>
      <c r="U53" s="93">
        <v>0</v>
      </c>
      <c r="V53" s="93">
        <v>0</v>
      </c>
      <c r="W53" s="93">
        <v>0</v>
      </c>
      <c r="X53" s="93">
        <v>682</v>
      </c>
      <c r="Y53" s="93">
        <v>0.91100000000000003</v>
      </c>
      <c r="Z53" s="93">
        <v>-37.700000000000003</v>
      </c>
      <c r="AC53" s="93">
        <v>2</v>
      </c>
      <c r="AD53" s="93" t="s">
        <v>175</v>
      </c>
      <c r="AE53" s="93" t="s">
        <v>149</v>
      </c>
      <c r="AF53" s="93" t="s">
        <v>169</v>
      </c>
      <c r="AG53" s="93" t="s">
        <v>31</v>
      </c>
      <c r="AH53" s="93" t="s">
        <v>139</v>
      </c>
      <c r="AI53" s="93" t="s">
        <v>147</v>
      </c>
      <c r="AJ53" s="93" t="s">
        <v>37</v>
      </c>
      <c r="AK53" s="93" t="s">
        <v>152</v>
      </c>
      <c r="AM53" s="93" t="s">
        <v>37</v>
      </c>
      <c r="AN53" s="93" t="s">
        <v>153</v>
      </c>
      <c r="AO53" s="93" t="s">
        <v>154</v>
      </c>
      <c r="AP53" s="93" t="s">
        <v>155</v>
      </c>
      <c r="AQ53" s="113">
        <f>IF($E53="SCE",VLOOKUP($BB53,'[1]ESAF_&amp;_PDAF_Summary'!$B$4:$D$18,2,0),1)</f>
        <v>0.61629213483146073</v>
      </c>
      <c r="AR53" s="113">
        <f>IF($E53="SCE",VLOOKUP($BB53,'[1]ESAF_&amp;_PDAF_Summary'!$B$4:$D$18,3,0),1)</f>
        <v>0</v>
      </c>
      <c r="AS53" s="113">
        <f>IF($E53="SCE",VLOOKUP($BB53,'[1]ESAF_&amp;_PDAF_Summary'!$B$4:$E$18,4,0),1)</f>
        <v>0.75</v>
      </c>
      <c r="AT53" s="93">
        <f t="shared" si="1"/>
        <v>550.04073033707868</v>
      </c>
      <c r="AU53" s="95">
        <f t="shared" si="2"/>
        <v>0</v>
      </c>
      <c r="AV53" s="93">
        <v>0</v>
      </c>
      <c r="AW53" s="93">
        <f t="shared" si="6"/>
        <v>1616.47</v>
      </c>
      <c r="AY53" s="93">
        <f t="shared" si="8"/>
        <v>2205.6139217982204</v>
      </c>
      <c r="AZ53" s="98">
        <f>IF($E53="PGE",($AZ$4*$L53)+'[1]Water Costs'!I$16-AW53,IF($E53="SCE",$AZ$4+'[1]Water Costs'!$I$9,"N/A"))</f>
        <v>2205.6139217982204</v>
      </c>
      <c r="BA53" s="98"/>
      <c r="BB53" s="93">
        <f t="shared" si="0"/>
        <v>13</v>
      </c>
      <c r="BD53" s="93">
        <f t="shared" si="9"/>
        <v>315.23342696629214</v>
      </c>
      <c r="BE53" s="93">
        <f t="shared" si="10"/>
        <v>0</v>
      </c>
    </row>
    <row r="54" spans="1:57" hidden="1" x14ac:dyDescent="0.35">
      <c r="A54" s="93" t="s">
        <v>139</v>
      </c>
      <c r="B54" s="93" t="s">
        <v>140</v>
      </c>
      <c r="C54" s="93" t="s">
        <v>141</v>
      </c>
      <c r="D54" s="111">
        <v>40944</v>
      </c>
      <c r="E54" s="93" t="s">
        <v>31</v>
      </c>
      <c r="F54" s="93" t="s">
        <v>174</v>
      </c>
      <c r="G54" s="93" t="s">
        <v>143</v>
      </c>
      <c r="H54" s="93" t="s">
        <v>144</v>
      </c>
      <c r="I54" s="93" t="s">
        <v>184</v>
      </c>
      <c r="J54" s="102" t="str">
        <f t="shared" si="7"/>
        <v>SFmCZ14</v>
      </c>
      <c r="K54" s="93" t="s">
        <v>146</v>
      </c>
      <c r="L54" s="93">
        <v>1.72</v>
      </c>
      <c r="M54" s="93">
        <v>1720</v>
      </c>
      <c r="N54" s="93" t="s">
        <v>147</v>
      </c>
      <c r="O54" s="93">
        <v>0</v>
      </c>
      <c r="P54" s="93">
        <v>0</v>
      </c>
      <c r="Q54" s="93">
        <v>0</v>
      </c>
      <c r="R54" s="93">
        <v>1160</v>
      </c>
      <c r="S54" s="93">
        <v>1.99</v>
      </c>
      <c r="T54" s="93">
        <v>-46.9</v>
      </c>
      <c r="U54" s="93">
        <v>0</v>
      </c>
      <c r="V54" s="93">
        <v>0</v>
      </c>
      <c r="W54" s="93">
        <v>0</v>
      </c>
      <c r="X54" s="93">
        <v>755</v>
      </c>
      <c r="Y54" s="93">
        <v>1.39</v>
      </c>
      <c r="Z54" s="93">
        <v>-47.3</v>
      </c>
      <c r="AC54" s="93">
        <v>2</v>
      </c>
      <c r="AD54" s="93" t="s">
        <v>175</v>
      </c>
      <c r="AE54" s="93" t="s">
        <v>149</v>
      </c>
      <c r="AF54" s="93" t="s">
        <v>185</v>
      </c>
      <c r="AG54" s="93" t="s">
        <v>31</v>
      </c>
      <c r="AH54" s="93" t="s">
        <v>139</v>
      </c>
      <c r="AI54" s="93" t="s">
        <v>147</v>
      </c>
      <c r="AJ54" s="93" t="s">
        <v>37</v>
      </c>
      <c r="AK54" s="93" t="s">
        <v>152</v>
      </c>
      <c r="AM54" s="93" t="s">
        <v>37</v>
      </c>
      <c r="AN54" s="93" t="s">
        <v>153</v>
      </c>
      <c r="AO54" s="93" t="s">
        <v>154</v>
      </c>
      <c r="AP54" s="93" t="s">
        <v>155</v>
      </c>
      <c r="AQ54" s="113">
        <f>IF($E54="SCE",VLOOKUP($BB54,'[1]ESAF_&amp;_PDAF_Summary'!$B$4:$D$18,2,0),1)</f>
        <v>0.86996735582154516</v>
      </c>
      <c r="AR54" s="113">
        <f>IF($E54="SCE",VLOOKUP($BB54,'[1]ESAF_&amp;_PDAF_Summary'!$B$4:$D$18,3,0),1)</f>
        <v>0.88888888888888884</v>
      </c>
      <c r="AS54" s="113">
        <f>IF($E54="SCE",VLOOKUP($BB54,'[1]ESAF_&amp;_PDAF_Summary'!$B$4:$E$18,4,0),1)</f>
        <v>0.75</v>
      </c>
      <c r="AT54" s="93">
        <f t="shared" si="1"/>
        <v>756.87159956474432</v>
      </c>
      <c r="AU54" s="93">
        <f t="shared" si="2"/>
        <v>1.3266666666666667</v>
      </c>
      <c r="AV54" s="93">
        <v>0</v>
      </c>
      <c r="AW54" s="93">
        <f t="shared" si="6"/>
        <v>1616.47</v>
      </c>
      <c r="AY54" s="93">
        <f t="shared" si="8"/>
        <v>2205.6139217982204</v>
      </c>
      <c r="AZ54" s="98">
        <f>IF($E54="PGE",($AZ$4*$L54)+'[1]Water Costs'!I$16-AW54,IF($E54="SCE",$AZ$4+'[1]Water Costs'!$I$9,"N/A"))</f>
        <v>2205.6139217982204</v>
      </c>
      <c r="BA54" s="98"/>
      <c r="BB54" s="93">
        <f t="shared" si="0"/>
        <v>14</v>
      </c>
      <c r="BD54" s="93">
        <f t="shared" si="9"/>
        <v>492.61901523394988</v>
      </c>
      <c r="BE54" s="93">
        <f t="shared" si="10"/>
        <v>0.92666666666666653</v>
      </c>
    </row>
    <row r="55" spans="1:57" hidden="1" x14ac:dyDescent="0.35">
      <c r="A55" s="93" t="s">
        <v>139</v>
      </c>
      <c r="B55" s="93" t="s">
        <v>140</v>
      </c>
      <c r="C55" s="93" t="s">
        <v>141</v>
      </c>
      <c r="D55" s="111">
        <v>40944</v>
      </c>
      <c r="E55" s="93" t="s">
        <v>31</v>
      </c>
      <c r="F55" s="93" t="s">
        <v>174</v>
      </c>
      <c r="G55" s="93" t="s">
        <v>143</v>
      </c>
      <c r="H55" s="93" t="s">
        <v>144</v>
      </c>
      <c r="I55" s="93" t="s">
        <v>186</v>
      </c>
      <c r="J55" s="102" t="str">
        <f t="shared" si="7"/>
        <v>SFmCZ15</v>
      </c>
      <c r="K55" s="93" t="s">
        <v>146</v>
      </c>
      <c r="L55" s="93">
        <v>1.7</v>
      </c>
      <c r="M55" s="93">
        <v>1700</v>
      </c>
      <c r="N55" s="93" t="s">
        <v>147</v>
      </c>
      <c r="O55" s="93">
        <v>0</v>
      </c>
      <c r="P55" s="93">
        <v>0</v>
      </c>
      <c r="Q55" s="93">
        <v>0</v>
      </c>
      <c r="R55" s="93">
        <v>2370</v>
      </c>
      <c r="S55" s="93">
        <v>2.06</v>
      </c>
      <c r="T55" s="93">
        <v>-11.7</v>
      </c>
      <c r="U55" s="93">
        <v>0</v>
      </c>
      <c r="V55" s="93">
        <v>0</v>
      </c>
      <c r="W55" s="93">
        <v>0</v>
      </c>
      <c r="X55" s="93">
        <v>1400</v>
      </c>
      <c r="Y55" s="93">
        <v>1.4</v>
      </c>
      <c r="Z55" s="93">
        <v>-11.8</v>
      </c>
      <c r="AC55" s="93">
        <v>2</v>
      </c>
      <c r="AD55" s="93" t="s">
        <v>175</v>
      </c>
      <c r="AE55" s="93" t="s">
        <v>149</v>
      </c>
      <c r="AF55" s="93" t="s">
        <v>187</v>
      </c>
      <c r="AG55" s="93" t="s">
        <v>31</v>
      </c>
      <c r="AH55" s="93" t="s">
        <v>139</v>
      </c>
      <c r="AI55" s="93" t="s">
        <v>147</v>
      </c>
      <c r="AJ55" s="93" t="s">
        <v>37</v>
      </c>
      <c r="AK55" s="93" t="s">
        <v>152</v>
      </c>
      <c r="AM55" s="93" t="s">
        <v>37</v>
      </c>
      <c r="AN55" s="93" t="s">
        <v>153</v>
      </c>
      <c r="AO55" s="93" t="s">
        <v>154</v>
      </c>
      <c r="AP55" s="93" t="s">
        <v>155</v>
      </c>
      <c r="AQ55" s="113">
        <f>IF($E55="SCE",VLOOKUP($BB55,'[1]ESAF_&amp;_PDAF_Summary'!$B$4:$D$18,2,0),1)</f>
        <v>0.54673423423423428</v>
      </c>
      <c r="AR55" s="113">
        <f>IF($E55="SCE",VLOOKUP($BB55,'[1]ESAF_&amp;_PDAF_Summary'!$B$4:$D$18,3,0),1)</f>
        <v>0.1111111111111111</v>
      </c>
      <c r="AS55" s="113">
        <f>IF($E55="SCE",VLOOKUP($BB55,'[1]ESAF_&amp;_PDAF_Summary'!$B$4:$E$18,4,0),1)</f>
        <v>0.75</v>
      </c>
      <c r="AT55" s="93">
        <f t="shared" si="1"/>
        <v>971.82010135135147</v>
      </c>
      <c r="AU55" s="93">
        <f t="shared" si="2"/>
        <v>0.17166666666666666</v>
      </c>
      <c r="AV55" s="93">
        <v>0</v>
      </c>
      <c r="AW55" s="93">
        <f t="shared" si="6"/>
        <v>1616.47</v>
      </c>
      <c r="AY55" s="93">
        <f t="shared" si="8"/>
        <v>2205.6139217982204</v>
      </c>
      <c r="AZ55" s="98">
        <f>IF($E55="PGE",($AZ$4*$L55)+'[1]Water Costs'!I$16-AW55,IF($E55="SCE",$AZ$4+'[1]Water Costs'!$I$9,"N/A"))</f>
        <v>2205.6139217982204</v>
      </c>
      <c r="BA55" s="98"/>
      <c r="BB55" s="93">
        <f t="shared" si="0"/>
        <v>15</v>
      </c>
      <c r="BD55" s="93">
        <f t="shared" si="9"/>
        <v>574.07094594594594</v>
      </c>
      <c r="BE55" s="93">
        <f t="shared" si="10"/>
        <v>0.11666666666666664</v>
      </c>
    </row>
    <row r="56" spans="1:57" hidden="1" x14ac:dyDescent="0.35">
      <c r="A56" s="93" t="s">
        <v>139</v>
      </c>
      <c r="B56" s="93" t="s">
        <v>140</v>
      </c>
      <c r="C56" s="93" t="s">
        <v>141</v>
      </c>
      <c r="D56" s="111">
        <v>40944</v>
      </c>
      <c r="E56" s="93" t="s">
        <v>31</v>
      </c>
      <c r="F56" s="93" t="s">
        <v>174</v>
      </c>
      <c r="G56" s="93" t="s">
        <v>143</v>
      </c>
      <c r="H56" s="93" t="s">
        <v>144</v>
      </c>
      <c r="I56" s="93" t="s">
        <v>170</v>
      </c>
      <c r="J56" s="102" t="str">
        <f t="shared" si="7"/>
        <v>SFmCZ16</v>
      </c>
      <c r="K56" s="93" t="s">
        <v>146</v>
      </c>
      <c r="L56" s="93">
        <v>1.72</v>
      </c>
      <c r="M56" s="93">
        <v>1720</v>
      </c>
      <c r="N56" s="93" t="s">
        <v>147</v>
      </c>
      <c r="O56" s="93">
        <v>0</v>
      </c>
      <c r="P56" s="93">
        <v>0</v>
      </c>
      <c r="Q56" s="93">
        <v>0</v>
      </c>
      <c r="R56" s="93">
        <v>299</v>
      </c>
      <c r="S56" s="93">
        <v>1.53</v>
      </c>
      <c r="T56" s="93">
        <v>-128</v>
      </c>
      <c r="U56" s="93">
        <v>0</v>
      </c>
      <c r="V56" s="93">
        <v>0</v>
      </c>
      <c r="W56" s="93">
        <v>0</v>
      </c>
      <c r="X56" s="93">
        <v>131</v>
      </c>
      <c r="Y56" s="93">
        <v>0.97599999999999998</v>
      </c>
      <c r="Z56" s="93">
        <v>-130</v>
      </c>
      <c r="AC56" s="93">
        <v>2</v>
      </c>
      <c r="AD56" s="93" t="s">
        <v>175</v>
      </c>
      <c r="AE56" s="93" t="s">
        <v>149</v>
      </c>
      <c r="AF56" s="93" t="s">
        <v>171</v>
      </c>
      <c r="AG56" s="93" t="s">
        <v>31</v>
      </c>
      <c r="AH56" s="93" t="s">
        <v>139</v>
      </c>
      <c r="AI56" s="93" t="s">
        <v>147</v>
      </c>
      <c r="AJ56" s="93" t="s">
        <v>37</v>
      </c>
      <c r="AK56" s="93" t="s">
        <v>152</v>
      </c>
      <c r="AM56" s="93" t="s">
        <v>37</v>
      </c>
      <c r="AN56" s="93" t="s">
        <v>153</v>
      </c>
      <c r="AO56" s="93" t="s">
        <v>154</v>
      </c>
      <c r="AP56" s="93" t="s">
        <v>155</v>
      </c>
      <c r="AQ56" s="113">
        <f>IF($E56="SCE",VLOOKUP($BB56,'[1]ESAF_&amp;_PDAF_Summary'!$B$4:$D$18,2,0),1)</f>
        <v>0.95767195767195767</v>
      </c>
      <c r="AR56" s="113">
        <f>IF($E56="SCE",VLOOKUP($BB56,'[1]ESAF_&amp;_PDAF_Summary'!$B$4:$D$18,3,0),1)</f>
        <v>0.88888888888888884</v>
      </c>
      <c r="AS56" s="113">
        <f>IF($E56="SCE",VLOOKUP($BB56,'[1]ESAF_&amp;_PDAF_Summary'!$B$4:$E$18,4,0),1)</f>
        <v>0.75</v>
      </c>
      <c r="AT56" s="93">
        <f t="shared" si="1"/>
        <v>214.75793650793651</v>
      </c>
      <c r="AU56" s="93">
        <f t="shared" si="2"/>
        <v>1.02</v>
      </c>
      <c r="AV56" s="93">
        <v>0</v>
      </c>
      <c r="AW56" s="93">
        <f t="shared" si="6"/>
        <v>1616.47</v>
      </c>
      <c r="AY56" s="93">
        <f t="shared" si="8"/>
        <v>2205.6139217982204</v>
      </c>
      <c r="AZ56" s="98">
        <f>IF($E56="PGE",($AZ$4*$L56)+'[1]Water Costs'!I$16-AW56,IF($E56="SCE",$AZ$4+'[1]Water Costs'!$I$9,"N/A"))</f>
        <v>2205.6139217982204</v>
      </c>
      <c r="BA56" s="98"/>
      <c r="BB56" s="93">
        <f t="shared" si="0"/>
        <v>16</v>
      </c>
      <c r="BD56" s="93">
        <f t="shared" si="9"/>
        <v>94.091269841269849</v>
      </c>
      <c r="BE56" s="93">
        <f t="shared" si="10"/>
        <v>0.65066666666666662</v>
      </c>
    </row>
    <row r="57" spans="1:57" hidden="1" x14ac:dyDescent="0.35">
      <c r="A57" s="93" t="s">
        <v>139</v>
      </c>
      <c r="B57" s="93" t="s">
        <v>140</v>
      </c>
      <c r="C57" s="93" t="s">
        <v>141</v>
      </c>
      <c r="D57" s="111">
        <v>40944</v>
      </c>
      <c r="E57" s="93" t="s">
        <v>188</v>
      </c>
      <c r="F57" s="93" t="s">
        <v>142</v>
      </c>
      <c r="G57" s="93" t="s">
        <v>143</v>
      </c>
      <c r="H57" s="93" t="s">
        <v>144</v>
      </c>
      <c r="I57" s="93" t="s">
        <v>162</v>
      </c>
      <c r="J57" s="102" t="str">
        <f t="shared" si="7"/>
        <v>DMoCZ05</v>
      </c>
      <c r="K57" s="93" t="s">
        <v>146</v>
      </c>
      <c r="L57" s="93">
        <v>1.24</v>
      </c>
      <c r="M57" s="93">
        <v>1240</v>
      </c>
      <c r="N57" s="93" t="s">
        <v>147</v>
      </c>
      <c r="O57" s="93">
        <v>0</v>
      </c>
      <c r="P57" s="93">
        <v>0</v>
      </c>
      <c r="Q57" s="93">
        <v>0</v>
      </c>
      <c r="R57" s="93">
        <v>104</v>
      </c>
      <c r="S57" s="93">
        <v>2.73</v>
      </c>
      <c r="T57" s="93">
        <v>-52.9</v>
      </c>
      <c r="U57" s="93">
        <v>0</v>
      </c>
      <c r="V57" s="93">
        <v>0</v>
      </c>
      <c r="W57" s="93">
        <v>0</v>
      </c>
      <c r="X57" s="93">
        <v>7.4</v>
      </c>
      <c r="Y57" s="93">
        <v>1.34</v>
      </c>
      <c r="Z57" s="93">
        <v>-53.4</v>
      </c>
      <c r="AC57" s="93">
        <v>2</v>
      </c>
      <c r="AD57" s="93" t="s">
        <v>148</v>
      </c>
      <c r="AE57" s="93" t="s">
        <v>149</v>
      </c>
      <c r="AF57" s="93" t="s">
        <v>163</v>
      </c>
      <c r="AG57" s="93" t="s">
        <v>188</v>
      </c>
      <c r="AH57" s="93" t="s">
        <v>139</v>
      </c>
      <c r="AI57" s="93" t="s">
        <v>147</v>
      </c>
      <c r="AJ57" s="93" t="s">
        <v>37</v>
      </c>
      <c r="AK57" s="93" t="s">
        <v>152</v>
      </c>
      <c r="AM57" s="93" t="s">
        <v>37</v>
      </c>
      <c r="AN57" s="93" t="s">
        <v>153</v>
      </c>
      <c r="AO57" s="93" t="s">
        <v>154</v>
      </c>
      <c r="AP57" s="93" t="s">
        <v>155</v>
      </c>
      <c r="AQ57" s="113">
        <f>IF($E57="SCE",VLOOKUP($BB57,'[1]ESAF_&amp;_PDAF_Summary'!$B$4:$D$18,2,0),1)</f>
        <v>1</v>
      </c>
      <c r="AR57" s="113">
        <f>IF($E57="SCE",VLOOKUP($BB57,'[1]ESAF_&amp;_PDAF_Summary'!$B$4:$D$18,3,0),1)</f>
        <v>1</v>
      </c>
      <c r="AS57" s="113">
        <f>IF($E57="SCE",VLOOKUP($BB57,'[1]ESAF_&amp;_PDAF_Summary'!$B$4:$E$18,4,0),1)</f>
        <v>1</v>
      </c>
      <c r="AT57" s="93" t="str">
        <f t="shared" si="1"/>
        <v>N/A</v>
      </c>
      <c r="AU57" s="95" t="str">
        <f t="shared" si="2"/>
        <v>N/A</v>
      </c>
      <c r="AV57" s="93">
        <v>0</v>
      </c>
      <c r="AW57" s="93" t="str">
        <f t="shared" si="6"/>
        <v>N/A</v>
      </c>
      <c r="AY57" s="93" t="str">
        <f t="shared" si="8"/>
        <v>N/A</v>
      </c>
      <c r="AZ57" s="98" t="str">
        <f>IF($E57="PGE",($AZ$4*$L57)+'[1]Water Costs'!I$16-AW57,IF($E57="SCE",$AZ$4+'[1]Water Costs'!$I$9,"N/A"))</f>
        <v>N/A</v>
      </c>
      <c r="BA57" s="98"/>
      <c r="BB57" s="93">
        <f t="shared" si="0"/>
        <v>5</v>
      </c>
      <c r="BD57" s="93">
        <f t="shared" si="9"/>
        <v>7.4</v>
      </c>
      <c r="BE57" s="93">
        <f t="shared" si="10"/>
        <v>1.34</v>
      </c>
    </row>
    <row r="58" spans="1:57" hidden="1" x14ac:dyDescent="0.35">
      <c r="A58" s="93" t="s">
        <v>139</v>
      </c>
      <c r="B58" s="93" t="s">
        <v>140</v>
      </c>
      <c r="C58" s="93" t="s">
        <v>141</v>
      </c>
      <c r="D58" s="111">
        <v>40944</v>
      </c>
      <c r="E58" s="93" t="s">
        <v>188</v>
      </c>
      <c r="F58" s="93" t="s">
        <v>142</v>
      </c>
      <c r="G58" s="93" t="s">
        <v>143</v>
      </c>
      <c r="H58" s="93" t="s">
        <v>144</v>
      </c>
      <c r="I58" s="93" t="s">
        <v>176</v>
      </c>
      <c r="J58" s="102" t="str">
        <f t="shared" si="7"/>
        <v>DMoCZ06</v>
      </c>
      <c r="K58" s="93" t="s">
        <v>146</v>
      </c>
      <c r="L58" s="93">
        <v>1.24</v>
      </c>
      <c r="M58" s="93">
        <v>1240</v>
      </c>
      <c r="N58" s="93" t="s">
        <v>147</v>
      </c>
      <c r="O58" s="93">
        <v>0</v>
      </c>
      <c r="P58" s="93">
        <v>0</v>
      </c>
      <c r="Q58" s="93">
        <v>0</v>
      </c>
      <c r="R58" s="93">
        <v>61.4</v>
      </c>
      <c r="S58" s="93">
        <v>1.66</v>
      </c>
      <c r="T58" s="93">
        <v>-34.299999999999997</v>
      </c>
      <c r="U58" s="93">
        <v>0</v>
      </c>
      <c r="V58" s="93">
        <v>0</v>
      </c>
      <c r="W58" s="93">
        <v>0</v>
      </c>
      <c r="X58" s="93">
        <v>19.3</v>
      </c>
      <c r="Y58" s="93">
        <v>1</v>
      </c>
      <c r="Z58" s="93">
        <v>-34.5</v>
      </c>
      <c r="AC58" s="93">
        <v>2</v>
      </c>
      <c r="AD58" s="93" t="s">
        <v>148</v>
      </c>
      <c r="AE58" s="93" t="s">
        <v>149</v>
      </c>
      <c r="AF58" s="93" t="s">
        <v>177</v>
      </c>
      <c r="AG58" s="93" t="s">
        <v>188</v>
      </c>
      <c r="AH58" s="93" t="s">
        <v>139</v>
      </c>
      <c r="AI58" s="93" t="s">
        <v>147</v>
      </c>
      <c r="AJ58" s="93" t="s">
        <v>37</v>
      </c>
      <c r="AK58" s="93" t="s">
        <v>152</v>
      </c>
      <c r="AM58" s="93" t="s">
        <v>37</v>
      </c>
      <c r="AN58" s="93" t="s">
        <v>153</v>
      </c>
      <c r="AO58" s="93" t="s">
        <v>154</v>
      </c>
      <c r="AP58" s="93" t="s">
        <v>155</v>
      </c>
      <c r="AQ58" s="113">
        <f>IF($E58="SCE",VLOOKUP($BB58,'[1]ESAF_&amp;_PDAF_Summary'!$B$4:$D$18,2,0),1)</f>
        <v>1</v>
      </c>
      <c r="AR58" s="113">
        <f>IF($E58="SCE",VLOOKUP($BB58,'[1]ESAF_&amp;_PDAF_Summary'!$B$4:$D$18,3,0),1)</f>
        <v>1</v>
      </c>
      <c r="AS58" s="113">
        <f>IF($E58="SCE",VLOOKUP($BB58,'[1]ESAF_&amp;_PDAF_Summary'!$B$4:$E$18,4,0),1)</f>
        <v>1</v>
      </c>
      <c r="AT58" s="93" t="str">
        <f t="shared" si="1"/>
        <v>N/A</v>
      </c>
      <c r="AU58" s="95" t="str">
        <f t="shared" si="2"/>
        <v>N/A</v>
      </c>
      <c r="AV58" s="93">
        <v>0</v>
      </c>
      <c r="AW58" s="93" t="str">
        <f t="shared" si="6"/>
        <v>N/A</v>
      </c>
      <c r="AY58" s="93" t="str">
        <f t="shared" si="8"/>
        <v>N/A</v>
      </c>
      <c r="AZ58" s="98" t="str">
        <f>IF($E58="PGE",($AZ$4*$L58)+'[1]Water Costs'!I$16-AW58,IF($E58="SCE",$AZ$4+'[1]Water Costs'!$I$9,"N/A"))</f>
        <v>N/A</v>
      </c>
      <c r="BA58" s="98"/>
      <c r="BB58" s="93">
        <f t="shared" si="0"/>
        <v>6</v>
      </c>
      <c r="BD58" s="93">
        <f t="shared" si="9"/>
        <v>19.3</v>
      </c>
      <c r="BE58" s="93">
        <f t="shared" si="10"/>
        <v>1</v>
      </c>
    </row>
    <row r="59" spans="1:57" hidden="1" x14ac:dyDescent="0.35">
      <c r="A59" s="93" t="s">
        <v>139</v>
      </c>
      <c r="B59" s="93" t="s">
        <v>140</v>
      </c>
      <c r="C59" s="93" t="s">
        <v>141</v>
      </c>
      <c r="D59" s="111">
        <v>40944</v>
      </c>
      <c r="E59" s="93" t="s">
        <v>188</v>
      </c>
      <c r="F59" s="93" t="s">
        <v>142</v>
      </c>
      <c r="G59" s="93" t="s">
        <v>143</v>
      </c>
      <c r="H59" s="93" t="s">
        <v>144</v>
      </c>
      <c r="I59" s="93" t="s">
        <v>178</v>
      </c>
      <c r="J59" s="102" t="str">
        <f t="shared" si="7"/>
        <v>DMoCZ08</v>
      </c>
      <c r="K59" s="93" t="s">
        <v>146</v>
      </c>
      <c r="L59" s="93">
        <v>1.24</v>
      </c>
      <c r="M59" s="93">
        <v>1240</v>
      </c>
      <c r="N59" s="93" t="s">
        <v>147</v>
      </c>
      <c r="O59" s="93">
        <v>0</v>
      </c>
      <c r="P59" s="93">
        <v>0</v>
      </c>
      <c r="Q59" s="93">
        <v>0</v>
      </c>
      <c r="R59" s="93">
        <v>529</v>
      </c>
      <c r="S59" s="93">
        <v>2.81</v>
      </c>
      <c r="T59" s="93">
        <v>-36.799999999999997</v>
      </c>
      <c r="U59" s="93">
        <v>0</v>
      </c>
      <c r="V59" s="93">
        <v>0</v>
      </c>
      <c r="W59" s="93">
        <v>0</v>
      </c>
      <c r="X59" s="93">
        <v>182</v>
      </c>
      <c r="Y59" s="93">
        <v>1.44</v>
      </c>
      <c r="Z59" s="93">
        <v>-37.1</v>
      </c>
      <c r="AC59" s="93">
        <v>2</v>
      </c>
      <c r="AD59" s="93" t="s">
        <v>148</v>
      </c>
      <c r="AE59" s="93" t="s">
        <v>149</v>
      </c>
      <c r="AF59" s="93" t="s">
        <v>179</v>
      </c>
      <c r="AG59" s="93" t="s">
        <v>188</v>
      </c>
      <c r="AH59" s="93" t="s">
        <v>139</v>
      </c>
      <c r="AI59" s="93" t="s">
        <v>147</v>
      </c>
      <c r="AJ59" s="93" t="s">
        <v>37</v>
      </c>
      <c r="AK59" s="93" t="s">
        <v>152</v>
      </c>
      <c r="AM59" s="93" t="s">
        <v>37</v>
      </c>
      <c r="AN59" s="93" t="s">
        <v>153</v>
      </c>
      <c r="AO59" s="93" t="s">
        <v>154</v>
      </c>
      <c r="AP59" s="93" t="s">
        <v>155</v>
      </c>
      <c r="AQ59" s="113">
        <f>IF($E59="SCE",VLOOKUP($BB59,'[1]ESAF_&amp;_PDAF_Summary'!$B$4:$D$18,2,0),1)</f>
        <v>1</v>
      </c>
      <c r="AR59" s="113">
        <f>IF($E59="SCE",VLOOKUP($BB59,'[1]ESAF_&amp;_PDAF_Summary'!$B$4:$D$18,3,0),1)</f>
        <v>1</v>
      </c>
      <c r="AS59" s="113">
        <f>IF($E59="SCE",VLOOKUP($BB59,'[1]ESAF_&amp;_PDAF_Summary'!$B$4:$E$18,4,0),1)</f>
        <v>1</v>
      </c>
      <c r="AT59" s="93" t="str">
        <f t="shared" si="1"/>
        <v>N/A</v>
      </c>
      <c r="AU59" s="93" t="str">
        <f t="shared" si="2"/>
        <v>N/A</v>
      </c>
      <c r="AV59" s="93">
        <v>0</v>
      </c>
      <c r="AW59" s="93" t="str">
        <f t="shared" si="6"/>
        <v>N/A</v>
      </c>
      <c r="AY59" s="93" t="str">
        <f t="shared" si="8"/>
        <v>N/A</v>
      </c>
      <c r="AZ59" s="98" t="str">
        <f>IF($E59="PGE",($AZ$4*$L59)+'[1]Water Costs'!I$16-AW59,IF($E59="SCE",$AZ$4+'[1]Water Costs'!$I$9,"N/A"))</f>
        <v>N/A</v>
      </c>
      <c r="BA59" s="98"/>
      <c r="BB59" s="93">
        <f t="shared" si="0"/>
        <v>8</v>
      </c>
    </row>
    <row r="60" spans="1:57" hidden="1" x14ac:dyDescent="0.35">
      <c r="A60" s="93" t="s">
        <v>139</v>
      </c>
      <c r="B60" s="93" t="s">
        <v>140</v>
      </c>
      <c r="C60" s="93" t="s">
        <v>141</v>
      </c>
      <c r="D60" s="111">
        <v>40944</v>
      </c>
      <c r="E60" s="93" t="s">
        <v>188</v>
      </c>
      <c r="F60" s="93" t="s">
        <v>142</v>
      </c>
      <c r="G60" s="93" t="s">
        <v>143</v>
      </c>
      <c r="H60" s="93" t="s">
        <v>144</v>
      </c>
      <c r="I60" s="93" t="s">
        <v>180</v>
      </c>
      <c r="J60" s="102" t="str">
        <f t="shared" si="7"/>
        <v>DMoCZ09</v>
      </c>
      <c r="K60" s="93" t="s">
        <v>146</v>
      </c>
      <c r="L60" s="93">
        <v>1.24</v>
      </c>
      <c r="M60" s="93">
        <v>1240</v>
      </c>
      <c r="N60" s="93" t="s">
        <v>147</v>
      </c>
      <c r="O60" s="93">
        <v>0</v>
      </c>
      <c r="P60" s="93">
        <v>0</v>
      </c>
      <c r="Q60" s="93">
        <v>0</v>
      </c>
      <c r="R60" s="93">
        <v>775</v>
      </c>
      <c r="S60" s="93">
        <v>2.2400000000000002</v>
      </c>
      <c r="T60" s="93">
        <v>-39.200000000000003</v>
      </c>
      <c r="U60" s="93">
        <v>0</v>
      </c>
      <c r="V60" s="93">
        <v>0</v>
      </c>
      <c r="W60" s="93">
        <v>0</v>
      </c>
      <c r="X60" s="93">
        <v>261</v>
      </c>
      <c r="Y60" s="93">
        <v>1.08</v>
      </c>
      <c r="Z60" s="93">
        <v>-39.5</v>
      </c>
      <c r="AC60" s="93">
        <v>2</v>
      </c>
      <c r="AD60" s="93" t="s">
        <v>148</v>
      </c>
      <c r="AE60" s="93" t="s">
        <v>149</v>
      </c>
      <c r="AF60" s="93" t="s">
        <v>181</v>
      </c>
      <c r="AG60" s="93" t="s">
        <v>188</v>
      </c>
      <c r="AH60" s="93" t="s">
        <v>139</v>
      </c>
      <c r="AI60" s="93" t="s">
        <v>147</v>
      </c>
      <c r="AJ60" s="93" t="s">
        <v>37</v>
      </c>
      <c r="AK60" s="93" t="s">
        <v>152</v>
      </c>
      <c r="AM60" s="93" t="s">
        <v>37</v>
      </c>
      <c r="AN60" s="93" t="s">
        <v>153</v>
      </c>
      <c r="AO60" s="93" t="s">
        <v>154</v>
      </c>
      <c r="AP60" s="93" t="s">
        <v>155</v>
      </c>
      <c r="AQ60" s="113">
        <f>IF($E60="SCE",VLOOKUP($BB60,'[1]ESAF_&amp;_PDAF_Summary'!$B$4:$D$18,2,0),1)</f>
        <v>1</v>
      </c>
      <c r="AR60" s="113">
        <f>IF($E60="SCE",VLOOKUP($BB60,'[1]ESAF_&amp;_PDAF_Summary'!$B$4:$D$18,3,0),1)</f>
        <v>1</v>
      </c>
      <c r="AS60" s="113">
        <f>IF($E60="SCE",VLOOKUP($BB60,'[1]ESAF_&amp;_PDAF_Summary'!$B$4:$E$18,4,0),1)</f>
        <v>1</v>
      </c>
      <c r="AT60" s="93" t="str">
        <f t="shared" si="1"/>
        <v>N/A</v>
      </c>
      <c r="AU60" s="93" t="str">
        <f t="shared" si="2"/>
        <v>N/A</v>
      </c>
      <c r="AV60" s="93">
        <v>0</v>
      </c>
      <c r="AW60" s="93" t="str">
        <f t="shared" si="6"/>
        <v>N/A</v>
      </c>
      <c r="AY60" s="93" t="str">
        <f t="shared" si="8"/>
        <v>N/A</v>
      </c>
      <c r="AZ60" s="98" t="str">
        <f>IF($E60="PGE",($AZ$4*$L60)+'[1]Water Costs'!I$16-AW60,IF($E60="SCE",$AZ$4+'[1]Water Costs'!$I$9,"N/A"))</f>
        <v>N/A</v>
      </c>
      <c r="BA60" s="98"/>
      <c r="BB60" s="93">
        <f t="shared" si="0"/>
        <v>9</v>
      </c>
    </row>
    <row r="61" spans="1:57" hidden="1" x14ac:dyDescent="0.35">
      <c r="A61" s="93" t="s">
        <v>139</v>
      </c>
      <c r="B61" s="93" t="s">
        <v>140</v>
      </c>
      <c r="C61" s="93" t="s">
        <v>141</v>
      </c>
      <c r="D61" s="111">
        <v>40944</v>
      </c>
      <c r="E61" s="93" t="s">
        <v>188</v>
      </c>
      <c r="F61" s="93" t="s">
        <v>142</v>
      </c>
      <c r="G61" s="93" t="s">
        <v>143</v>
      </c>
      <c r="H61" s="93" t="s">
        <v>144</v>
      </c>
      <c r="I61" s="93" t="s">
        <v>182</v>
      </c>
      <c r="J61" s="102" t="str">
        <f t="shared" si="7"/>
        <v>DMoCZ10</v>
      </c>
      <c r="K61" s="93" t="s">
        <v>146</v>
      </c>
      <c r="L61" s="93">
        <v>1.24</v>
      </c>
      <c r="M61" s="93">
        <v>1240</v>
      </c>
      <c r="N61" s="93" t="s">
        <v>147</v>
      </c>
      <c r="O61" s="93">
        <v>0</v>
      </c>
      <c r="P61" s="93">
        <v>0</v>
      </c>
      <c r="Q61" s="93">
        <v>0</v>
      </c>
      <c r="R61" s="93">
        <v>1190</v>
      </c>
      <c r="S61" s="93">
        <v>2.5299999999999998</v>
      </c>
      <c r="T61" s="93">
        <v>-53.7</v>
      </c>
      <c r="U61" s="93">
        <v>0</v>
      </c>
      <c r="V61" s="93">
        <v>0</v>
      </c>
      <c r="W61" s="93">
        <v>0</v>
      </c>
      <c r="X61" s="93">
        <v>425</v>
      </c>
      <c r="Y61" s="93">
        <v>1.1599999999999999</v>
      </c>
      <c r="Z61" s="93">
        <v>-54</v>
      </c>
      <c r="AC61" s="93">
        <v>2</v>
      </c>
      <c r="AD61" s="93" t="s">
        <v>148</v>
      </c>
      <c r="AE61" s="93" t="s">
        <v>149</v>
      </c>
      <c r="AF61" s="93" t="s">
        <v>183</v>
      </c>
      <c r="AG61" s="93" t="s">
        <v>188</v>
      </c>
      <c r="AH61" s="93" t="s">
        <v>139</v>
      </c>
      <c r="AI61" s="93" t="s">
        <v>147</v>
      </c>
      <c r="AJ61" s="93" t="s">
        <v>37</v>
      </c>
      <c r="AK61" s="93" t="s">
        <v>152</v>
      </c>
      <c r="AM61" s="93" t="s">
        <v>37</v>
      </c>
      <c r="AN61" s="93" t="s">
        <v>153</v>
      </c>
      <c r="AO61" s="93" t="s">
        <v>154</v>
      </c>
      <c r="AP61" s="93" t="s">
        <v>155</v>
      </c>
      <c r="AQ61" s="113">
        <f>IF($E61="SCE",VLOOKUP($BB61,'[1]ESAF_&amp;_PDAF_Summary'!$B$4:$D$18,2,0),1)</f>
        <v>1</v>
      </c>
      <c r="AR61" s="113">
        <f>IF($E61="SCE",VLOOKUP($BB61,'[1]ESAF_&amp;_PDAF_Summary'!$B$4:$D$18,3,0),1)</f>
        <v>1</v>
      </c>
      <c r="AS61" s="113">
        <f>IF($E61="SCE",VLOOKUP($BB61,'[1]ESAF_&amp;_PDAF_Summary'!$B$4:$E$18,4,0),1)</f>
        <v>1</v>
      </c>
      <c r="AT61" s="93" t="str">
        <f t="shared" si="1"/>
        <v>N/A</v>
      </c>
      <c r="AU61" s="93" t="str">
        <f t="shared" si="2"/>
        <v>N/A</v>
      </c>
      <c r="AV61" s="93">
        <v>0</v>
      </c>
      <c r="AW61" s="93" t="str">
        <f t="shared" si="6"/>
        <v>N/A</v>
      </c>
      <c r="AY61" s="93" t="str">
        <f t="shared" si="8"/>
        <v>N/A</v>
      </c>
      <c r="AZ61" s="98" t="str">
        <f>IF($E61="PGE",($AZ$4*$L61)+'[1]Water Costs'!I$16-AW61,IF($E61="SCE",$AZ$4+'[1]Water Costs'!$I$9,"N/A"))</f>
        <v>N/A</v>
      </c>
      <c r="BA61" s="98"/>
      <c r="BB61" s="93">
        <f t="shared" si="0"/>
        <v>10</v>
      </c>
    </row>
    <row r="62" spans="1:57" hidden="1" x14ac:dyDescent="0.35">
      <c r="A62" s="93" t="s">
        <v>139</v>
      </c>
      <c r="B62" s="93" t="s">
        <v>140</v>
      </c>
      <c r="C62" s="93" t="s">
        <v>141</v>
      </c>
      <c r="D62" s="111">
        <v>40944</v>
      </c>
      <c r="E62" s="93" t="s">
        <v>188</v>
      </c>
      <c r="F62" s="93" t="s">
        <v>142</v>
      </c>
      <c r="G62" s="93" t="s">
        <v>143</v>
      </c>
      <c r="H62" s="93" t="s">
        <v>144</v>
      </c>
      <c r="I62" s="93" t="s">
        <v>168</v>
      </c>
      <c r="J62" s="102" t="str">
        <f t="shared" si="7"/>
        <v>DMoCZ13</v>
      </c>
      <c r="K62" s="93" t="s">
        <v>146</v>
      </c>
      <c r="L62" s="93">
        <v>1.24</v>
      </c>
      <c r="M62" s="93">
        <v>1240</v>
      </c>
      <c r="N62" s="93" t="s">
        <v>147</v>
      </c>
      <c r="O62" s="93">
        <v>0</v>
      </c>
      <c r="P62" s="93">
        <v>0</v>
      </c>
      <c r="Q62" s="93">
        <v>0</v>
      </c>
      <c r="R62" s="93">
        <v>1620</v>
      </c>
      <c r="S62" s="93">
        <v>2.86</v>
      </c>
      <c r="T62" s="93">
        <v>-61.6</v>
      </c>
      <c r="U62" s="93">
        <v>0</v>
      </c>
      <c r="V62" s="93">
        <v>0</v>
      </c>
      <c r="W62" s="93">
        <v>0</v>
      </c>
      <c r="X62" s="93">
        <v>557</v>
      </c>
      <c r="Y62" s="93">
        <v>1.21</v>
      </c>
      <c r="Z62" s="93">
        <v>-62.1</v>
      </c>
      <c r="AC62" s="93">
        <v>2</v>
      </c>
      <c r="AD62" s="93" t="s">
        <v>148</v>
      </c>
      <c r="AE62" s="93" t="s">
        <v>149</v>
      </c>
      <c r="AF62" s="93" t="s">
        <v>169</v>
      </c>
      <c r="AG62" s="93" t="s">
        <v>188</v>
      </c>
      <c r="AH62" s="93" t="s">
        <v>139</v>
      </c>
      <c r="AI62" s="93" t="s">
        <v>147</v>
      </c>
      <c r="AJ62" s="93" t="s">
        <v>37</v>
      </c>
      <c r="AK62" s="93" t="s">
        <v>152</v>
      </c>
      <c r="AM62" s="93" t="s">
        <v>37</v>
      </c>
      <c r="AN62" s="93" t="s">
        <v>153</v>
      </c>
      <c r="AO62" s="93" t="s">
        <v>154</v>
      </c>
      <c r="AP62" s="93" t="s">
        <v>155</v>
      </c>
      <c r="AQ62" s="113">
        <f>IF($E62="SCE",VLOOKUP($BB62,'[1]ESAF_&amp;_PDAF_Summary'!$B$4:$D$18,2,0),1)</f>
        <v>1</v>
      </c>
      <c r="AR62" s="113">
        <f>IF($E62="SCE",VLOOKUP($BB62,'[1]ESAF_&amp;_PDAF_Summary'!$B$4:$D$18,3,0),1)</f>
        <v>1</v>
      </c>
      <c r="AS62" s="113">
        <f>IF($E62="SCE",VLOOKUP($BB62,'[1]ESAF_&amp;_PDAF_Summary'!$B$4:$E$18,4,0),1)</f>
        <v>1</v>
      </c>
      <c r="AT62" s="93" t="str">
        <f t="shared" si="1"/>
        <v>N/A</v>
      </c>
      <c r="AU62" s="93" t="str">
        <f t="shared" si="2"/>
        <v>N/A</v>
      </c>
      <c r="AV62" s="93">
        <v>0</v>
      </c>
      <c r="AW62" s="93" t="str">
        <f t="shared" si="6"/>
        <v>N/A</v>
      </c>
      <c r="AY62" s="93" t="str">
        <f t="shared" si="8"/>
        <v>N/A</v>
      </c>
      <c r="AZ62" s="98" t="str">
        <f>IF($E62="PGE",($AZ$4*$L62)+'[1]Water Costs'!I$16-AW62,IF($E62="SCE",$AZ$4+'[1]Water Costs'!$I$9,"N/A"))</f>
        <v>N/A</v>
      </c>
      <c r="BA62" s="98"/>
      <c r="BB62" s="93">
        <f t="shared" si="0"/>
        <v>13</v>
      </c>
    </row>
    <row r="63" spans="1:57" hidden="1" x14ac:dyDescent="0.35">
      <c r="A63" s="93" t="s">
        <v>139</v>
      </c>
      <c r="B63" s="93" t="s">
        <v>140</v>
      </c>
      <c r="C63" s="93" t="s">
        <v>141</v>
      </c>
      <c r="D63" s="111">
        <v>40944</v>
      </c>
      <c r="E63" s="93" t="s">
        <v>188</v>
      </c>
      <c r="F63" s="93" t="s">
        <v>142</v>
      </c>
      <c r="G63" s="93" t="s">
        <v>143</v>
      </c>
      <c r="H63" s="93" t="s">
        <v>144</v>
      </c>
      <c r="I63" s="93" t="s">
        <v>184</v>
      </c>
      <c r="J63" s="102" t="str">
        <f t="shared" si="7"/>
        <v>DMoCZ14</v>
      </c>
      <c r="K63" s="93" t="s">
        <v>146</v>
      </c>
      <c r="L63" s="93">
        <v>1.24</v>
      </c>
      <c r="M63" s="93">
        <v>1240</v>
      </c>
      <c r="N63" s="93" t="s">
        <v>147</v>
      </c>
      <c r="O63" s="93">
        <v>0</v>
      </c>
      <c r="P63" s="93">
        <v>0</v>
      </c>
      <c r="Q63" s="93">
        <v>0</v>
      </c>
      <c r="R63" s="93">
        <v>1590</v>
      </c>
      <c r="S63" s="93">
        <v>3.33</v>
      </c>
      <c r="T63" s="93">
        <v>-82.9</v>
      </c>
      <c r="U63" s="93">
        <v>0</v>
      </c>
      <c r="V63" s="93">
        <v>0</v>
      </c>
      <c r="W63" s="93">
        <v>0</v>
      </c>
      <c r="X63" s="93">
        <v>678</v>
      </c>
      <c r="Y63" s="93">
        <v>1.58</v>
      </c>
      <c r="Z63" s="93">
        <v>-83.4</v>
      </c>
      <c r="AC63" s="93">
        <v>2</v>
      </c>
      <c r="AD63" s="93" t="s">
        <v>148</v>
      </c>
      <c r="AE63" s="93" t="s">
        <v>149</v>
      </c>
      <c r="AF63" s="93" t="s">
        <v>185</v>
      </c>
      <c r="AG63" s="93" t="s">
        <v>188</v>
      </c>
      <c r="AH63" s="93" t="s">
        <v>139</v>
      </c>
      <c r="AI63" s="93" t="s">
        <v>147</v>
      </c>
      <c r="AJ63" s="93" t="s">
        <v>37</v>
      </c>
      <c r="AK63" s="93" t="s">
        <v>152</v>
      </c>
      <c r="AM63" s="93" t="s">
        <v>37</v>
      </c>
      <c r="AN63" s="93" t="s">
        <v>153</v>
      </c>
      <c r="AO63" s="93" t="s">
        <v>154</v>
      </c>
      <c r="AP63" s="93" t="s">
        <v>155</v>
      </c>
      <c r="AQ63" s="113">
        <f>IF($E63="SCE",VLOOKUP($BB63,'[1]ESAF_&amp;_PDAF_Summary'!$B$4:$D$18,2,0),1)</f>
        <v>1</v>
      </c>
      <c r="AR63" s="113">
        <f>IF($E63="SCE",VLOOKUP($BB63,'[1]ESAF_&amp;_PDAF_Summary'!$B$4:$D$18,3,0),1)</f>
        <v>1</v>
      </c>
      <c r="AS63" s="113">
        <f>IF($E63="SCE",VLOOKUP($BB63,'[1]ESAF_&amp;_PDAF_Summary'!$B$4:$E$18,4,0),1)</f>
        <v>1</v>
      </c>
      <c r="AT63" s="93" t="str">
        <f t="shared" si="1"/>
        <v>N/A</v>
      </c>
      <c r="AU63" s="93" t="str">
        <f t="shared" si="2"/>
        <v>N/A</v>
      </c>
      <c r="AV63" s="93">
        <v>0</v>
      </c>
      <c r="AW63" s="93" t="str">
        <f t="shared" si="6"/>
        <v>N/A</v>
      </c>
      <c r="AY63" s="93" t="str">
        <f t="shared" si="8"/>
        <v>N/A</v>
      </c>
      <c r="AZ63" s="98" t="str">
        <f>IF($E63="PGE",($AZ$4*$L63)+'[1]Water Costs'!I$16-AW63,IF($E63="SCE",$AZ$4+'[1]Water Costs'!$I$9,"N/A"))</f>
        <v>N/A</v>
      </c>
      <c r="BA63" s="98"/>
      <c r="BB63" s="93">
        <f t="shared" si="0"/>
        <v>14</v>
      </c>
    </row>
    <row r="64" spans="1:57" hidden="1" x14ac:dyDescent="0.35">
      <c r="A64" s="93" t="s">
        <v>139</v>
      </c>
      <c r="B64" s="93" t="s">
        <v>140</v>
      </c>
      <c r="C64" s="93" t="s">
        <v>141</v>
      </c>
      <c r="D64" s="111">
        <v>40944</v>
      </c>
      <c r="E64" s="93" t="s">
        <v>188</v>
      </c>
      <c r="F64" s="93" t="s">
        <v>142</v>
      </c>
      <c r="G64" s="93" t="s">
        <v>143</v>
      </c>
      <c r="H64" s="93" t="s">
        <v>144</v>
      </c>
      <c r="I64" s="93" t="s">
        <v>186</v>
      </c>
      <c r="J64" s="102" t="str">
        <f t="shared" si="7"/>
        <v>DMoCZ15</v>
      </c>
      <c r="K64" s="93" t="s">
        <v>146</v>
      </c>
      <c r="L64" s="93">
        <v>1.24</v>
      </c>
      <c r="M64" s="93">
        <v>1240</v>
      </c>
      <c r="N64" s="93" t="s">
        <v>147</v>
      </c>
      <c r="O64" s="93">
        <v>0</v>
      </c>
      <c r="P64" s="93">
        <v>0</v>
      </c>
      <c r="Q64" s="93">
        <v>0</v>
      </c>
      <c r="R64" s="93">
        <v>2890</v>
      </c>
      <c r="S64" s="93">
        <v>2.89</v>
      </c>
      <c r="T64" s="93">
        <v>-30.5</v>
      </c>
      <c r="U64" s="93">
        <v>0</v>
      </c>
      <c r="V64" s="93">
        <v>0</v>
      </c>
      <c r="W64" s="93">
        <v>0</v>
      </c>
      <c r="X64" s="93">
        <v>1170</v>
      </c>
      <c r="Y64" s="93">
        <v>1.4</v>
      </c>
      <c r="Z64" s="93">
        <v>-30.7</v>
      </c>
      <c r="AC64" s="93">
        <v>2</v>
      </c>
      <c r="AD64" s="93" t="s">
        <v>148</v>
      </c>
      <c r="AE64" s="93" t="s">
        <v>149</v>
      </c>
      <c r="AF64" s="93" t="s">
        <v>187</v>
      </c>
      <c r="AG64" s="93" t="s">
        <v>188</v>
      </c>
      <c r="AH64" s="93" t="s">
        <v>139</v>
      </c>
      <c r="AI64" s="93" t="s">
        <v>147</v>
      </c>
      <c r="AJ64" s="93" t="s">
        <v>37</v>
      </c>
      <c r="AK64" s="93" t="s">
        <v>152</v>
      </c>
      <c r="AM64" s="93" t="s">
        <v>37</v>
      </c>
      <c r="AN64" s="93" t="s">
        <v>153</v>
      </c>
      <c r="AO64" s="93" t="s">
        <v>154</v>
      </c>
      <c r="AP64" s="93" t="s">
        <v>155</v>
      </c>
      <c r="AQ64" s="113">
        <f>IF($E64="SCE",VLOOKUP($BB64,'[1]ESAF_&amp;_PDAF_Summary'!$B$4:$D$18,2,0),1)</f>
        <v>1</v>
      </c>
      <c r="AR64" s="113">
        <f>IF($E64="SCE",VLOOKUP($BB64,'[1]ESAF_&amp;_PDAF_Summary'!$B$4:$D$18,3,0),1)</f>
        <v>1</v>
      </c>
      <c r="AS64" s="113">
        <f>IF($E64="SCE",VLOOKUP($BB64,'[1]ESAF_&amp;_PDAF_Summary'!$B$4:$E$18,4,0),1)</f>
        <v>1</v>
      </c>
      <c r="AT64" s="93" t="str">
        <f t="shared" si="1"/>
        <v>N/A</v>
      </c>
      <c r="AU64" s="93" t="str">
        <f t="shared" si="2"/>
        <v>N/A</v>
      </c>
      <c r="AV64" s="93">
        <v>0</v>
      </c>
      <c r="AW64" s="93" t="str">
        <f t="shared" si="6"/>
        <v>N/A</v>
      </c>
      <c r="AY64" s="93" t="str">
        <f t="shared" si="8"/>
        <v>N/A</v>
      </c>
      <c r="AZ64" s="98" t="str">
        <f>IF($E64="PGE",($AZ$4*$L64)+'[1]Water Costs'!I$16-AW64,IF($E64="SCE",$AZ$4+'[1]Water Costs'!$I$9,"N/A"))</f>
        <v>N/A</v>
      </c>
      <c r="BA64" s="98"/>
      <c r="BB64" s="93">
        <f t="shared" si="0"/>
        <v>15</v>
      </c>
    </row>
    <row r="65" spans="1:54" hidden="1" x14ac:dyDescent="0.35">
      <c r="A65" s="93" t="s">
        <v>139</v>
      </c>
      <c r="B65" s="93" t="s">
        <v>140</v>
      </c>
      <c r="C65" s="93" t="s">
        <v>141</v>
      </c>
      <c r="D65" s="111">
        <v>40944</v>
      </c>
      <c r="E65" s="93" t="s">
        <v>188</v>
      </c>
      <c r="F65" s="93" t="s">
        <v>142</v>
      </c>
      <c r="G65" s="93" t="s">
        <v>143</v>
      </c>
      <c r="H65" s="93" t="s">
        <v>144</v>
      </c>
      <c r="I65" s="93" t="s">
        <v>170</v>
      </c>
      <c r="J65" s="102" t="str">
        <f t="shared" si="7"/>
        <v>DMoCZ16</v>
      </c>
      <c r="K65" s="93" t="s">
        <v>146</v>
      </c>
      <c r="L65" s="93">
        <v>1.24</v>
      </c>
      <c r="M65" s="93">
        <v>1240</v>
      </c>
      <c r="N65" s="93" t="s">
        <v>147</v>
      </c>
      <c r="O65" s="93">
        <v>0</v>
      </c>
      <c r="P65" s="93">
        <v>0</v>
      </c>
      <c r="Q65" s="93">
        <v>0</v>
      </c>
      <c r="R65" s="93">
        <v>58.7</v>
      </c>
      <c r="S65" s="93">
        <v>1.97</v>
      </c>
      <c r="T65" s="93">
        <v>-151</v>
      </c>
      <c r="U65" s="93">
        <v>0</v>
      </c>
      <c r="V65" s="93">
        <v>0</v>
      </c>
      <c r="W65" s="93">
        <v>0</v>
      </c>
      <c r="X65" s="93">
        <v>-15.8</v>
      </c>
      <c r="Y65" s="93">
        <v>1.42</v>
      </c>
      <c r="Z65" s="93">
        <v>-151</v>
      </c>
      <c r="AC65" s="93">
        <v>2</v>
      </c>
      <c r="AD65" s="93" t="s">
        <v>148</v>
      </c>
      <c r="AE65" s="93" t="s">
        <v>149</v>
      </c>
      <c r="AF65" s="93" t="s">
        <v>171</v>
      </c>
      <c r="AG65" s="93" t="s">
        <v>188</v>
      </c>
      <c r="AH65" s="93" t="s">
        <v>139</v>
      </c>
      <c r="AI65" s="93" t="s">
        <v>147</v>
      </c>
      <c r="AJ65" s="93" t="s">
        <v>37</v>
      </c>
      <c r="AK65" s="93" t="s">
        <v>152</v>
      </c>
      <c r="AM65" s="93" t="s">
        <v>37</v>
      </c>
      <c r="AN65" s="93" t="s">
        <v>153</v>
      </c>
      <c r="AO65" s="93" t="s">
        <v>154</v>
      </c>
      <c r="AP65" s="93" t="s">
        <v>155</v>
      </c>
      <c r="AQ65" s="113">
        <f>IF($E65="SCE",VLOOKUP($BB65,'[1]ESAF_&amp;_PDAF_Summary'!$B$4:$D$18,2,0),1)</f>
        <v>1</v>
      </c>
      <c r="AR65" s="113">
        <f>IF($E65="SCE",VLOOKUP($BB65,'[1]ESAF_&amp;_PDAF_Summary'!$B$4:$D$18,3,0),1)</f>
        <v>1</v>
      </c>
      <c r="AS65" s="113">
        <f>IF($E65="SCE",VLOOKUP($BB65,'[1]ESAF_&amp;_PDAF_Summary'!$B$4:$E$18,4,0),1)</f>
        <v>1</v>
      </c>
      <c r="AT65" s="93" t="str">
        <f t="shared" si="1"/>
        <v>N/A</v>
      </c>
      <c r="AU65" s="95" t="str">
        <f t="shared" si="2"/>
        <v>N/A</v>
      </c>
      <c r="AV65" s="93">
        <v>0</v>
      </c>
      <c r="AW65" s="93" t="str">
        <f t="shared" si="6"/>
        <v>N/A</v>
      </c>
      <c r="AY65" s="93" t="str">
        <f t="shared" si="8"/>
        <v>N/A</v>
      </c>
      <c r="AZ65" s="98" t="str">
        <f>IF($E65="PGE",($AZ$4*$L65)+'[1]Water Costs'!I$16-AW65,IF($E65="SCE",$AZ$4+'[1]Water Costs'!$I$9,"N/A"))</f>
        <v>N/A</v>
      </c>
      <c r="BA65" s="98"/>
      <c r="BB65" s="93">
        <f t="shared" si="0"/>
        <v>16</v>
      </c>
    </row>
    <row r="66" spans="1:54" hidden="1" x14ac:dyDescent="0.35">
      <c r="A66" s="93" t="s">
        <v>139</v>
      </c>
      <c r="B66" s="93" t="s">
        <v>140</v>
      </c>
      <c r="C66" s="93" t="s">
        <v>141</v>
      </c>
      <c r="D66" s="111">
        <v>40944</v>
      </c>
      <c r="E66" s="93" t="s">
        <v>188</v>
      </c>
      <c r="F66" s="93" t="s">
        <v>172</v>
      </c>
      <c r="G66" s="93" t="s">
        <v>143</v>
      </c>
      <c r="H66" s="93" t="s">
        <v>144</v>
      </c>
      <c r="I66" s="93" t="s">
        <v>160</v>
      </c>
      <c r="J66" s="102" t="str">
        <f t="shared" si="7"/>
        <v>MFmCZ04</v>
      </c>
      <c r="K66" s="93" t="s">
        <v>146</v>
      </c>
      <c r="L66" s="93">
        <v>1.02</v>
      </c>
      <c r="M66" s="93">
        <v>1020</v>
      </c>
      <c r="N66" s="93" t="s">
        <v>147</v>
      </c>
      <c r="O66" s="93">
        <v>0</v>
      </c>
      <c r="P66" s="93">
        <v>0</v>
      </c>
      <c r="Q66" s="93">
        <v>0</v>
      </c>
      <c r="R66" s="93">
        <v>284</v>
      </c>
      <c r="S66" s="93">
        <v>0.79100000000000004</v>
      </c>
      <c r="T66" s="93">
        <v>-9.65</v>
      </c>
      <c r="U66" s="93">
        <v>0</v>
      </c>
      <c r="V66" s="93">
        <v>0</v>
      </c>
      <c r="W66" s="93">
        <v>0</v>
      </c>
      <c r="X66" s="93">
        <v>138</v>
      </c>
      <c r="Y66" s="93">
        <v>0.53700000000000003</v>
      </c>
      <c r="Z66" s="93">
        <v>-10.199999999999999</v>
      </c>
      <c r="AC66" s="93">
        <v>2</v>
      </c>
      <c r="AD66" s="93" t="s">
        <v>173</v>
      </c>
      <c r="AE66" s="93" t="s">
        <v>149</v>
      </c>
      <c r="AF66" s="93" t="s">
        <v>161</v>
      </c>
      <c r="AG66" s="93" t="s">
        <v>188</v>
      </c>
      <c r="AH66" s="93" t="s">
        <v>139</v>
      </c>
      <c r="AI66" s="93" t="s">
        <v>147</v>
      </c>
      <c r="AJ66" s="93" t="s">
        <v>37</v>
      </c>
      <c r="AK66" s="93" t="s">
        <v>152</v>
      </c>
      <c r="AM66" s="93" t="s">
        <v>37</v>
      </c>
      <c r="AN66" s="93" t="s">
        <v>153</v>
      </c>
      <c r="AO66" s="93" t="s">
        <v>154</v>
      </c>
      <c r="AP66" s="93" t="s">
        <v>155</v>
      </c>
      <c r="AQ66" s="113">
        <f>IF($E66="SCE",VLOOKUP($BB66,'[1]ESAF_&amp;_PDAF_Summary'!$B$4:$D$18,2,0),1)</f>
        <v>1</v>
      </c>
      <c r="AR66" s="113">
        <f>IF($E66="SCE",VLOOKUP($BB66,'[1]ESAF_&amp;_PDAF_Summary'!$B$4:$D$18,3,0),1)</f>
        <v>1</v>
      </c>
      <c r="AS66" s="113">
        <f>IF($E66="SCE",VLOOKUP($BB66,'[1]ESAF_&amp;_PDAF_Summary'!$B$4:$E$18,4,0),1)</f>
        <v>1</v>
      </c>
      <c r="AT66" s="93" t="str">
        <f t="shared" si="1"/>
        <v>N/A</v>
      </c>
      <c r="AU66" s="95" t="str">
        <f t="shared" si="2"/>
        <v>N/A</v>
      </c>
      <c r="AV66" s="93">
        <v>0</v>
      </c>
      <c r="AW66" s="93" t="str">
        <f t="shared" si="6"/>
        <v>N/A</v>
      </c>
      <c r="AY66" s="93" t="str">
        <f t="shared" si="8"/>
        <v>N/A</v>
      </c>
      <c r="AZ66" s="98" t="str">
        <f>IF($E66="PGE",($AZ$4*$L66)+'[1]Water Costs'!I$16-AW66,IF($E66="SCE",$AZ$4+'[1]Water Costs'!$I$9,"N/A"))</f>
        <v>N/A</v>
      </c>
      <c r="BA66" s="98"/>
      <c r="BB66" s="93">
        <f t="shared" si="0"/>
        <v>4</v>
      </c>
    </row>
    <row r="67" spans="1:54" hidden="1" x14ac:dyDescent="0.35">
      <c r="A67" s="93" t="s">
        <v>139</v>
      </c>
      <c r="B67" s="93" t="s">
        <v>140</v>
      </c>
      <c r="C67" s="93" t="s">
        <v>141</v>
      </c>
      <c r="D67" s="111">
        <v>40944</v>
      </c>
      <c r="E67" s="93" t="s">
        <v>188</v>
      </c>
      <c r="F67" s="93" t="s">
        <v>172</v>
      </c>
      <c r="G67" s="93" t="s">
        <v>143</v>
      </c>
      <c r="H67" s="93" t="s">
        <v>144</v>
      </c>
      <c r="I67" s="93" t="s">
        <v>162</v>
      </c>
      <c r="J67" s="102" t="str">
        <f t="shared" si="7"/>
        <v>MFmCZ05</v>
      </c>
      <c r="K67" s="93" t="s">
        <v>146</v>
      </c>
      <c r="L67" s="93">
        <v>0.92700000000000005</v>
      </c>
      <c r="M67" s="93">
        <v>927</v>
      </c>
      <c r="N67" s="93" t="s">
        <v>147</v>
      </c>
      <c r="O67" s="93">
        <v>0</v>
      </c>
      <c r="P67" s="93">
        <v>0</v>
      </c>
      <c r="Q67" s="93">
        <v>0</v>
      </c>
      <c r="R67" s="93">
        <v>128</v>
      </c>
      <c r="S67" s="93">
        <v>1.04</v>
      </c>
      <c r="T67" s="93">
        <v>-9.1199999999999992</v>
      </c>
      <c r="U67" s="93">
        <v>0</v>
      </c>
      <c r="V67" s="93">
        <v>0</v>
      </c>
      <c r="W67" s="93">
        <v>0</v>
      </c>
      <c r="X67" s="93">
        <v>69.8</v>
      </c>
      <c r="Y67" s="93">
        <v>0.67200000000000004</v>
      </c>
      <c r="Z67" s="93">
        <v>-9.58</v>
      </c>
      <c r="AC67" s="93">
        <v>2</v>
      </c>
      <c r="AD67" s="93" t="s">
        <v>173</v>
      </c>
      <c r="AE67" s="93" t="s">
        <v>149</v>
      </c>
      <c r="AF67" s="93" t="s">
        <v>163</v>
      </c>
      <c r="AG67" s="93" t="s">
        <v>188</v>
      </c>
      <c r="AH67" s="93" t="s">
        <v>139</v>
      </c>
      <c r="AI67" s="93" t="s">
        <v>147</v>
      </c>
      <c r="AJ67" s="93" t="s">
        <v>37</v>
      </c>
      <c r="AK67" s="93" t="s">
        <v>152</v>
      </c>
      <c r="AM67" s="93" t="s">
        <v>37</v>
      </c>
      <c r="AN67" s="93" t="s">
        <v>153</v>
      </c>
      <c r="AO67" s="93" t="s">
        <v>154</v>
      </c>
      <c r="AP67" s="93" t="s">
        <v>155</v>
      </c>
      <c r="AQ67" s="113">
        <f>IF($E67="SCE",VLOOKUP($BB67,'[1]ESAF_&amp;_PDAF_Summary'!$B$4:$D$18,2,0),1)</f>
        <v>1</v>
      </c>
      <c r="AR67" s="113">
        <f>IF($E67="SCE",VLOOKUP($BB67,'[1]ESAF_&amp;_PDAF_Summary'!$B$4:$D$18,3,0),1)</f>
        <v>1</v>
      </c>
      <c r="AS67" s="113">
        <f>IF($E67="SCE",VLOOKUP($BB67,'[1]ESAF_&amp;_PDAF_Summary'!$B$4:$E$18,4,0),1)</f>
        <v>1</v>
      </c>
      <c r="AT67" s="93" t="str">
        <f t="shared" si="1"/>
        <v>N/A</v>
      </c>
      <c r="AU67" s="93" t="str">
        <f t="shared" si="2"/>
        <v>N/A</v>
      </c>
      <c r="AV67" s="93">
        <v>0</v>
      </c>
      <c r="AW67" s="93" t="str">
        <f t="shared" si="6"/>
        <v>N/A</v>
      </c>
      <c r="AY67" s="93" t="str">
        <f t="shared" si="8"/>
        <v>N/A</v>
      </c>
      <c r="AZ67" s="98" t="str">
        <f>IF($E67="PGE",($AZ$4*$L67)+'[1]Water Costs'!I$16-AW67,IF($E67="SCE",$AZ$4+'[1]Water Costs'!$I$9,"N/A"))</f>
        <v>N/A</v>
      </c>
      <c r="BA67" s="98"/>
      <c r="BB67" s="93">
        <f t="shared" si="0"/>
        <v>5</v>
      </c>
    </row>
    <row r="68" spans="1:54" hidden="1" x14ac:dyDescent="0.35">
      <c r="A68" s="93" t="s">
        <v>139</v>
      </c>
      <c r="B68" s="93" t="s">
        <v>140</v>
      </c>
      <c r="C68" s="93" t="s">
        <v>141</v>
      </c>
      <c r="D68" s="111">
        <v>40944</v>
      </c>
      <c r="E68" s="93" t="s">
        <v>188</v>
      </c>
      <c r="F68" s="93" t="s">
        <v>172</v>
      </c>
      <c r="G68" s="93" t="s">
        <v>143</v>
      </c>
      <c r="H68" s="93" t="s">
        <v>144</v>
      </c>
      <c r="I68" s="93" t="s">
        <v>176</v>
      </c>
      <c r="J68" s="102" t="str">
        <f t="shared" si="7"/>
        <v>MFmCZ06</v>
      </c>
      <c r="K68" s="93" t="s">
        <v>146</v>
      </c>
      <c r="L68" s="93">
        <v>1.02</v>
      </c>
      <c r="M68" s="93">
        <v>1020</v>
      </c>
      <c r="N68" s="93" t="s">
        <v>147</v>
      </c>
      <c r="O68" s="93">
        <v>0</v>
      </c>
      <c r="P68" s="93">
        <v>0</v>
      </c>
      <c r="Q68" s="93">
        <v>0</v>
      </c>
      <c r="R68" s="93">
        <v>175</v>
      </c>
      <c r="S68" s="93">
        <v>0.97099999999999997</v>
      </c>
      <c r="T68" s="93">
        <v>-4.8600000000000003</v>
      </c>
      <c r="U68" s="93">
        <v>0</v>
      </c>
      <c r="V68" s="93">
        <v>0</v>
      </c>
      <c r="W68" s="93">
        <v>0</v>
      </c>
      <c r="X68" s="93">
        <v>95.5</v>
      </c>
      <c r="Y68" s="93">
        <v>0.55900000000000005</v>
      </c>
      <c r="Z68" s="93">
        <v>-5.13</v>
      </c>
      <c r="AC68" s="93">
        <v>2</v>
      </c>
      <c r="AD68" s="93" t="s">
        <v>173</v>
      </c>
      <c r="AE68" s="93" t="s">
        <v>149</v>
      </c>
      <c r="AF68" s="93" t="s">
        <v>177</v>
      </c>
      <c r="AG68" s="93" t="s">
        <v>188</v>
      </c>
      <c r="AH68" s="93" t="s">
        <v>139</v>
      </c>
      <c r="AI68" s="93" t="s">
        <v>147</v>
      </c>
      <c r="AJ68" s="93" t="s">
        <v>37</v>
      </c>
      <c r="AK68" s="93" t="s">
        <v>152</v>
      </c>
      <c r="AM68" s="93" t="s">
        <v>37</v>
      </c>
      <c r="AN68" s="93" t="s">
        <v>153</v>
      </c>
      <c r="AO68" s="93" t="s">
        <v>154</v>
      </c>
      <c r="AP68" s="93" t="s">
        <v>155</v>
      </c>
      <c r="AQ68" s="113">
        <f>IF($E68="SCE",VLOOKUP($BB68,'[1]ESAF_&amp;_PDAF_Summary'!$B$4:$D$18,2,0),1)</f>
        <v>1</v>
      </c>
      <c r="AR68" s="113">
        <f>IF($E68="SCE",VLOOKUP($BB68,'[1]ESAF_&amp;_PDAF_Summary'!$B$4:$D$18,3,0),1)</f>
        <v>1</v>
      </c>
      <c r="AS68" s="113">
        <f>IF($E68="SCE",VLOOKUP($BB68,'[1]ESAF_&amp;_PDAF_Summary'!$B$4:$E$18,4,0),1)</f>
        <v>1</v>
      </c>
      <c r="AT68" s="93" t="str">
        <f t="shared" si="1"/>
        <v>N/A</v>
      </c>
      <c r="AU68" s="93" t="str">
        <f t="shared" si="2"/>
        <v>N/A</v>
      </c>
      <c r="AV68" s="93">
        <v>0</v>
      </c>
      <c r="AW68" s="93" t="str">
        <f t="shared" si="6"/>
        <v>N/A</v>
      </c>
      <c r="AY68" s="93" t="str">
        <f t="shared" si="8"/>
        <v>N/A</v>
      </c>
      <c r="AZ68" s="98" t="str">
        <f>IF($E68="PGE",($AZ$4*$L68)+'[1]Water Costs'!I$16-AW68,IF($E68="SCE",$AZ$4+'[1]Water Costs'!$I$9,"N/A"))</f>
        <v>N/A</v>
      </c>
      <c r="BA68" s="98"/>
      <c r="BB68" s="93">
        <f t="shared" si="0"/>
        <v>6</v>
      </c>
    </row>
    <row r="69" spans="1:54" hidden="1" x14ac:dyDescent="0.35">
      <c r="A69" s="93" t="s">
        <v>139</v>
      </c>
      <c r="B69" s="93" t="s">
        <v>140</v>
      </c>
      <c r="C69" s="93" t="s">
        <v>141</v>
      </c>
      <c r="D69" s="111">
        <v>40944</v>
      </c>
      <c r="E69" s="93" t="s">
        <v>188</v>
      </c>
      <c r="F69" s="93" t="s">
        <v>172</v>
      </c>
      <c r="G69" s="93" t="s">
        <v>143</v>
      </c>
      <c r="H69" s="93" t="s">
        <v>144</v>
      </c>
      <c r="I69" s="93" t="s">
        <v>189</v>
      </c>
      <c r="J69" s="102" t="str">
        <f t="shared" si="7"/>
        <v>MFmCZ07</v>
      </c>
      <c r="K69" s="93" t="s">
        <v>146</v>
      </c>
      <c r="L69" s="93">
        <v>1.04</v>
      </c>
      <c r="M69" s="93">
        <v>1040</v>
      </c>
      <c r="N69" s="93" t="s">
        <v>147</v>
      </c>
      <c r="O69" s="93">
        <v>0</v>
      </c>
      <c r="P69" s="93">
        <v>0</v>
      </c>
      <c r="Q69" s="93">
        <v>0</v>
      </c>
      <c r="R69" s="93">
        <v>227</v>
      </c>
      <c r="S69" s="93">
        <v>0.82299999999999995</v>
      </c>
      <c r="T69" s="93">
        <v>-3.61</v>
      </c>
      <c r="U69" s="93">
        <v>0</v>
      </c>
      <c r="V69" s="93">
        <v>0</v>
      </c>
      <c r="W69" s="93">
        <v>0</v>
      </c>
      <c r="X69" s="93">
        <v>119</v>
      </c>
      <c r="Y69" s="93">
        <v>0.48399999999999999</v>
      </c>
      <c r="Z69" s="93">
        <v>-3.88</v>
      </c>
      <c r="AC69" s="93">
        <v>2</v>
      </c>
      <c r="AD69" s="93" t="s">
        <v>173</v>
      </c>
      <c r="AE69" s="93" t="s">
        <v>149</v>
      </c>
      <c r="AF69" s="93" t="s">
        <v>190</v>
      </c>
      <c r="AG69" s="93" t="s">
        <v>188</v>
      </c>
      <c r="AH69" s="93" t="s">
        <v>139</v>
      </c>
      <c r="AI69" s="93" t="s">
        <v>147</v>
      </c>
      <c r="AJ69" s="93" t="s">
        <v>37</v>
      </c>
      <c r="AK69" s="93" t="s">
        <v>152</v>
      </c>
      <c r="AM69" s="93" t="s">
        <v>37</v>
      </c>
      <c r="AN69" s="93" t="s">
        <v>153</v>
      </c>
      <c r="AO69" s="93" t="s">
        <v>154</v>
      </c>
      <c r="AP69" s="93" t="s">
        <v>155</v>
      </c>
      <c r="AQ69" s="113">
        <f>IF($E69="SCE",VLOOKUP($BB69,'[1]ESAF_&amp;_PDAF_Summary'!$B$4:$D$18,2,0),1)</f>
        <v>1</v>
      </c>
      <c r="AR69" s="113">
        <f>IF($E69="SCE",VLOOKUP($BB69,'[1]ESAF_&amp;_PDAF_Summary'!$B$4:$D$18,3,0),1)</f>
        <v>1</v>
      </c>
      <c r="AS69" s="113">
        <f>IF($E69="SCE",VLOOKUP($BB69,'[1]ESAF_&amp;_PDAF_Summary'!$B$4:$E$18,4,0),1)</f>
        <v>1</v>
      </c>
      <c r="AT69" s="93" t="str">
        <f t="shared" si="1"/>
        <v>N/A</v>
      </c>
      <c r="AU69" s="93" t="str">
        <f t="shared" si="2"/>
        <v>N/A</v>
      </c>
      <c r="AV69" s="93">
        <v>0</v>
      </c>
      <c r="AW69" s="93" t="str">
        <f t="shared" si="6"/>
        <v>N/A</v>
      </c>
      <c r="AY69" s="93" t="str">
        <f t="shared" si="8"/>
        <v>N/A</v>
      </c>
      <c r="AZ69" s="98" t="str">
        <f>IF($E69="PGE",($AZ$4*$L69)+'[1]Water Costs'!I$16-AW69,IF($E69="SCE",$AZ$4+'[1]Water Costs'!$I$9,"N/A"))</f>
        <v>N/A</v>
      </c>
      <c r="BA69" s="98"/>
      <c r="BB69" s="93">
        <f t="shared" si="0"/>
        <v>7</v>
      </c>
    </row>
    <row r="70" spans="1:54" hidden="1" x14ac:dyDescent="0.35">
      <c r="A70" s="93" t="s">
        <v>139</v>
      </c>
      <c r="B70" s="93" t="s">
        <v>140</v>
      </c>
      <c r="C70" s="93" t="s">
        <v>141</v>
      </c>
      <c r="D70" s="111">
        <v>40944</v>
      </c>
      <c r="E70" s="93" t="s">
        <v>188</v>
      </c>
      <c r="F70" s="93" t="s">
        <v>172</v>
      </c>
      <c r="G70" s="93" t="s">
        <v>143</v>
      </c>
      <c r="H70" s="93" t="s">
        <v>144</v>
      </c>
      <c r="I70" s="93" t="s">
        <v>178</v>
      </c>
      <c r="J70" s="102" t="str">
        <f t="shared" si="7"/>
        <v>MFmCZ08</v>
      </c>
      <c r="K70" s="93" t="s">
        <v>146</v>
      </c>
      <c r="L70" s="93">
        <v>1.01</v>
      </c>
      <c r="M70" s="93">
        <v>1010</v>
      </c>
      <c r="N70" s="93" t="s">
        <v>147</v>
      </c>
      <c r="O70" s="93">
        <v>0</v>
      </c>
      <c r="P70" s="93">
        <v>0</v>
      </c>
      <c r="Q70" s="93">
        <v>0</v>
      </c>
      <c r="R70" s="93">
        <v>440</v>
      </c>
      <c r="S70" s="93">
        <v>1.08</v>
      </c>
      <c r="T70" s="93">
        <v>-5.24</v>
      </c>
      <c r="U70" s="93">
        <v>0</v>
      </c>
      <c r="V70" s="93">
        <v>0</v>
      </c>
      <c r="W70" s="93">
        <v>0</v>
      </c>
      <c r="X70" s="93">
        <v>235</v>
      </c>
      <c r="Y70" s="93">
        <v>0.69899999999999995</v>
      </c>
      <c r="Z70" s="93">
        <v>-5.49</v>
      </c>
      <c r="AC70" s="93">
        <v>2</v>
      </c>
      <c r="AD70" s="93" t="s">
        <v>173</v>
      </c>
      <c r="AE70" s="93" t="s">
        <v>149</v>
      </c>
      <c r="AF70" s="93" t="s">
        <v>179</v>
      </c>
      <c r="AG70" s="93" t="s">
        <v>188</v>
      </c>
      <c r="AH70" s="93" t="s">
        <v>139</v>
      </c>
      <c r="AI70" s="93" t="s">
        <v>147</v>
      </c>
      <c r="AJ70" s="93" t="s">
        <v>37</v>
      </c>
      <c r="AK70" s="93" t="s">
        <v>152</v>
      </c>
      <c r="AM70" s="93" t="s">
        <v>37</v>
      </c>
      <c r="AN70" s="93" t="s">
        <v>153</v>
      </c>
      <c r="AO70" s="93" t="s">
        <v>154</v>
      </c>
      <c r="AP70" s="93" t="s">
        <v>155</v>
      </c>
      <c r="AQ70" s="113">
        <f>IF($E70="SCE",VLOOKUP($BB70,'[1]ESAF_&amp;_PDAF_Summary'!$B$4:$D$18,2,0),1)</f>
        <v>1</v>
      </c>
      <c r="AR70" s="113">
        <f>IF($E70="SCE",VLOOKUP($BB70,'[1]ESAF_&amp;_PDAF_Summary'!$B$4:$D$18,3,0),1)</f>
        <v>1</v>
      </c>
      <c r="AS70" s="113">
        <f>IF($E70="SCE",VLOOKUP($BB70,'[1]ESAF_&amp;_PDAF_Summary'!$B$4:$E$18,4,0),1)</f>
        <v>1</v>
      </c>
      <c r="AT70" s="93" t="str">
        <f t="shared" si="1"/>
        <v>N/A</v>
      </c>
      <c r="AU70" s="95" t="str">
        <f t="shared" si="2"/>
        <v>N/A</v>
      </c>
      <c r="AV70" s="93">
        <v>0</v>
      </c>
      <c r="AW70" s="93" t="str">
        <f t="shared" si="6"/>
        <v>N/A</v>
      </c>
      <c r="AY70" s="93" t="str">
        <f t="shared" si="8"/>
        <v>N/A</v>
      </c>
      <c r="AZ70" s="98" t="str">
        <f>IF($E70="PGE",($AZ$4*$L70)+'[1]Water Costs'!I$16-AW70,IF($E70="SCE",$AZ$4+'[1]Water Costs'!$I$9,"N/A"))</f>
        <v>N/A</v>
      </c>
      <c r="BA70" s="98"/>
      <c r="BB70" s="93">
        <f t="shared" ref="BB70:BB100" si="11">VALUE(RIGHT(I70,2))</f>
        <v>8</v>
      </c>
    </row>
    <row r="71" spans="1:54" hidden="1" x14ac:dyDescent="0.35">
      <c r="A71" s="93" t="s">
        <v>139</v>
      </c>
      <c r="B71" s="93" t="s">
        <v>140</v>
      </c>
      <c r="C71" s="93" t="s">
        <v>141</v>
      </c>
      <c r="D71" s="111">
        <v>40944</v>
      </c>
      <c r="E71" s="93" t="s">
        <v>188</v>
      </c>
      <c r="F71" s="93" t="s">
        <v>172</v>
      </c>
      <c r="G71" s="93" t="s">
        <v>143</v>
      </c>
      <c r="H71" s="93" t="s">
        <v>144</v>
      </c>
      <c r="I71" s="93" t="s">
        <v>180</v>
      </c>
      <c r="J71" s="102" t="str">
        <f t="shared" si="7"/>
        <v>MFmCZ09</v>
      </c>
      <c r="K71" s="93" t="s">
        <v>146</v>
      </c>
      <c r="L71" s="93">
        <v>1.1200000000000001</v>
      </c>
      <c r="M71" s="93">
        <v>1120</v>
      </c>
      <c r="N71" s="93" t="s">
        <v>147</v>
      </c>
      <c r="O71" s="93">
        <v>0</v>
      </c>
      <c r="P71" s="93">
        <v>0</v>
      </c>
      <c r="Q71" s="93">
        <v>0</v>
      </c>
      <c r="R71" s="93">
        <v>640</v>
      </c>
      <c r="S71" s="93">
        <v>1.08</v>
      </c>
      <c r="T71" s="93">
        <v>-6.13</v>
      </c>
      <c r="U71" s="93">
        <v>0</v>
      </c>
      <c r="V71" s="93">
        <v>0</v>
      </c>
      <c r="W71" s="93">
        <v>0</v>
      </c>
      <c r="X71" s="93">
        <v>336</v>
      </c>
      <c r="Y71" s="93">
        <v>0.68</v>
      </c>
      <c r="Z71" s="93">
        <v>-6.41</v>
      </c>
      <c r="AC71" s="93">
        <v>2</v>
      </c>
      <c r="AD71" s="93" t="s">
        <v>173</v>
      </c>
      <c r="AE71" s="93" t="s">
        <v>149</v>
      </c>
      <c r="AF71" s="93" t="s">
        <v>181</v>
      </c>
      <c r="AG71" s="93" t="s">
        <v>188</v>
      </c>
      <c r="AH71" s="93" t="s">
        <v>139</v>
      </c>
      <c r="AI71" s="93" t="s">
        <v>147</v>
      </c>
      <c r="AJ71" s="93" t="s">
        <v>37</v>
      </c>
      <c r="AK71" s="93" t="s">
        <v>152</v>
      </c>
      <c r="AM71" s="93" t="s">
        <v>37</v>
      </c>
      <c r="AN71" s="93" t="s">
        <v>153</v>
      </c>
      <c r="AO71" s="93" t="s">
        <v>154</v>
      </c>
      <c r="AP71" s="93" t="s">
        <v>155</v>
      </c>
      <c r="AQ71" s="113">
        <f>IF($E71="SCE",VLOOKUP($BB71,'[1]ESAF_&amp;_PDAF_Summary'!$B$4:$D$18,2,0),1)</f>
        <v>1</v>
      </c>
      <c r="AR71" s="113">
        <f>IF($E71="SCE",VLOOKUP($BB71,'[1]ESAF_&amp;_PDAF_Summary'!$B$4:$D$18,3,0),1)</f>
        <v>1</v>
      </c>
      <c r="AS71" s="113">
        <f>IF($E71="SCE",VLOOKUP($BB71,'[1]ESAF_&amp;_PDAF_Summary'!$B$4:$E$18,4,0),1)</f>
        <v>1</v>
      </c>
      <c r="AT71" s="93" t="str">
        <f t="shared" ref="AT71:AT100" si="12">IF(AND($E71="PGE",$F71="MFm",OR($I71="CZ11",$I71="CZ12",$I71="CZ13")),X71*$AQ71*$AS71*$L71,IF($E71="SCE",R71*$AQ71*$AS71,"N/A"))</f>
        <v>N/A</v>
      </c>
      <c r="AU71" s="95" t="str">
        <f t="shared" ref="AU71:AU100" si="13">IF(AND($E71="PGE",$F71="MFm",OR($I71="CZ11",$I71="CZ12",$I71="CZ13")),Y71*$AR71*$AS71*$L71,IF($E71="SCE",S71*$AR71*$AS71,"N/A"))</f>
        <v>N/A</v>
      </c>
      <c r="AV71" s="93">
        <v>0</v>
      </c>
      <c r="AW71" s="93" t="str">
        <f t="shared" si="6"/>
        <v>N/A</v>
      </c>
      <c r="AY71" s="93" t="str">
        <f t="shared" si="8"/>
        <v>N/A</v>
      </c>
      <c r="AZ71" s="98" t="str">
        <f>IF($E71="PGE",($AZ$4*$L71)+'[1]Water Costs'!I$16-AW71,IF($E71="SCE",$AZ$4+'[1]Water Costs'!$I$9,"N/A"))</f>
        <v>N/A</v>
      </c>
      <c r="BA71" s="98"/>
      <c r="BB71" s="93">
        <f t="shared" si="11"/>
        <v>9</v>
      </c>
    </row>
    <row r="72" spans="1:54" hidden="1" x14ac:dyDescent="0.35">
      <c r="A72" s="93" t="s">
        <v>139</v>
      </c>
      <c r="B72" s="93" t="s">
        <v>140</v>
      </c>
      <c r="C72" s="93" t="s">
        <v>141</v>
      </c>
      <c r="D72" s="111">
        <v>40944</v>
      </c>
      <c r="E72" s="93" t="s">
        <v>188</v>
      </c>
      <c r="F72" s="93" t="s">
        <v>172</v>
      </c>
      <c r="G72" s="93" t="s">
        <v>143</v>
      </c>
      <c r="H72" s="93" t="s">
        <v>144</v>
      </c>
      <c r="I72" s="93" t="s">
        <v>182</v>
      </c>
      <c r="J72" s="102" t="str">
        <f t="shared" si="7"/>
        <v>MFmCZ10</v>
      </c>
      <c r="K72" s="93" t="s">
        <v>146</v>
      </c>
      <c r="L72" s="93">
        <v>1.18</v>
      </c>
      <c r="M72" s="93">
        <v>1180</v>
      </c>
      <c r="N72" s="93" t="s">
        <v>147</v>
      </c>
      <c r="O72" s="93">
        <v>0</v>
      </c>
      <c r="P72" s="93">
        <v>0</v>
      </c>
      <c r="Q72" s="93">
        <v>0</v>
      </c>
      <c r="R72" s="93">
        <v>802</v>
      </c>
      <c r="S72" s="93">
        <v>1.17</v>
      </c>
      <c r="T72" s="93">
        <v>-7.3</v>
      </c>
      <c r="U72" s="93">
        <v>0</v>
      </c>
      <c r="V72" s="93">
        <v>0</v>
      </c>
      <c r="W72" s="93">
        <v>0</v>
      </c>
      <c r="X72" s="93">
        <v>442</v>
      </c>
      <c r="Y72" s="93">
        <v>0.74299999999999999</v>
      </c>
      <c r="Z72" s="93">
        <v>-7.59</v>
      </c>
      <c r="AC72" s="93">
        <v>2</v>
      </c>
      <c r="AD72" s="93" t="s">
        <v>173</v>
      </c>
      <c r="AE72" s="93" t="s">
        <v>149</v>
      </c>
      <c r="AF72" s="93" t="s">
        <v>183</v>
      </c>
      <c r="AG72" s="93" t="s">
        <v>188</v>
      </c>
      <c r="AH72" s="93" t="s">
        <v>139</v>
      </c>
      <c r="AI72" s="93" t="s">
        <v>147</v>
      </c>
      <c r="AJ72" s="93" t="s">
        <v>37</v>
      </c>
      <c r="AK72" s="93" t="s">
        <v>152</v>
      </c>
      <c r="AM72" s="93" t="s">
        <v>37</v>
      </c>
      <c r="AN72" s="93" t="s">
        <v>153</v>
      </c>
      <c r="AO72" s="93" t="s">
        <v>154</v>
      </c>
      <c r="AP72" s="93" t="s">
        <v>155</v>
      </c>
      <c r="AQ72" s="113">
        <f>IF($E72="SCE",VLOOKUP($BB72,'[1]ESAF_&amp;_PDAF_Summary'!$B$4:$D$18,2,0),1)</f>
        <v>1</v>
      </c>
      <c r="AR72" s="113">
        <f>IF($E72="SCE",VLOOKUP($BB72,'[1]ESAF_&amp;_PDAF_Summary'!$B$4:$D$18,3,0),1)</f>
        <v>1</v>
      </c>
      <c r="AS72" s="113">
        <f>IF($E72="SCE",VLOOKUP($BB72,'[1]ESAF_&amp;_PDAF_Summary'!$B$4:$E$18,4,0),1)</f>
        <v>1</v>
      </c>
      <c r="AT72" s="93" t="str">
        <f t="shared" si="12"/>
        <v>N/A</v>
      </c>
      <c r="AU72" s="95" t="str">
        <f t="shared" si="13"/>
        <v>N/A</v>
      </c>
      <c r="AV72" s="93">
        <v>0</v>
      </c>
      <c r="AW72" s="93" t="str">
        <f t="shared" ref="AW72:AW110" si="14">IF($E72="PGE",$AW$4*$L72,IF($E72="SCE",$AW$4,"N/A"))</f>
        <v>N/A</v>
      </c>
      <c r="AY72" s="93" t="str">
        <f t="shared" si="8"/>
        <v>N/A</v>
      </c>
      <c r="AZ72" s="98" t="str">
        <f>IF($E72="PGE",($AZ$4*$L72)+'[1]Water Costs'!I$16-AW72,IF($E72="SCE",$AZ$4+'[1]Water Costs'!$I$9,"N/A"))</f>
        <v>N/A</v>
      </c>
      <c r="BA72" s="98"/>
      <c r="BB72" s="93">
        <f t="shared" si="11"/>
        <v>10</v>
      </c>
    </row>
    <row r="73" spans="1:54" hidden="1" x14ac:dyDescent="0.35">
      <c r="A73" s="93" t="s">
        <v>139</v>
      </c>
      <c r="B73" s="93" t="s">
        <v>140</v>
      </c>
      <c r="C73" s="93" t="s">
        <v>141</v>
      </c>
      <c r="D73" s="111">
        <v>40944</v>
      </c>
      <c r="E73" s="93" t="s">
        <v>188</v>
      </c>
      <c r="F73" s="93" t="s">
        <v>172</v>
      </c>
      <c r="G73" s="93" t="s">
        <v>143</v>
      </c>
      <c r="H73" s="93" t="s">
        <v>144</v>
      </c>
      <c r="I73" s="93" t="s">
        <v>168</v>
      </c>
      <c r="J73" s="102" t="str">
        <f t="shared" si="7"/>
        <v>MFmCZ13</v>
      </c>
      <c r="K73" s="93" t="s">
        <v>146</v>
      </c>
      <c r="L73" s="93">
        <v>0.97599999999999998</v>
      </c>
      <c r="M73" s="93">
        <v>976</v>
      </c>
      <c r="N73" s="93" t="s">
        <v>147</v>
      </c>
      <c r="O73" s="93">
        <v>0</v>
      </c>
      <c r="P73" s="93">
        <v>0</v>
      </c>
      <c r="Q73" s="93">
        <v>0</v>
      </c>
      <c r="R73" s="93">
        <v>1120</v>
      </c>
      <c r="S73" s="93">
        <v>1.27</v>
      </c>
      <c r="T73" s="93">
        <v>-19.100000000000001</v>
      </c>
      <c r="U73" s="93">
        <v>0</v>
      </c>
      <c r="V73" s="93">
        <v>0</v>
      </c>
      <c r="W73" s="93">
        <v>0</v>
      </c>
      <c r="X73" s="93">
        <v>618</v>
      </c>
      <c r="Y73" s="93">
        <v>0.79800000000000004</v>
      </c>
      <c r="Z73" s="93">
        <v>-19.7</v>
      </c>
      <c r="AC73" s="93">
        <v>2</v>
      </c>
      <c r="AD73" s="93" t="s">
        <v>173</v>
      </c>
      <c r="AE73" s="93" t="s">
        <v>149</v>
      </c>
      <c r="AF73" s="93" t="s">
        <v>169</v>
      </c>
      <c r="AG73" s="93" t="s">
        <v>188</v>
      </c>
      <c r="AH73" s="93" t="s">
        <v>139</v>
      </c>
      <c r="AI73" s="93" t="s">
        <v>147</v>
      </c>
      <c r="AJ73" s="93" t="s">
        <v>37</v>
      </c>
      <c r="AK73" s="93" t="s">
        <v>152</v>
      </c>
      <c r="AM73" s="93" t="s">
        <v>37</v>
      </c>
      <c r="AN73" s="93" t="s">
        <v>153</v>
      </c>
      <c r="AO73" s="93" t="s">
        <v>154</v>
      </c>
      <c r="AP73" s="93" t="s">
        <v>155</v>
      </c>
      <c r="AQ73" s="113">
        <f>IF($E73="SCE",VLOOKUP($BB73,'[1]ESAF_&amp;_PDAF_Summary'!$B$4:$D$18,2,0),1)</f>
        <v>1</v>
      </c>
      <c r="AR73" s="113">
        <f>IF($E73="SCE",VLOOKUP($BB73,'[1]ESAF_&amp;_PDAF_Summary'!$B$4:$D$18,3,0),1)</f>
        <v>1</v>
      </c>
      <c r="AS73" s="113">
        <f>IF($E73="SCE",VLOOKUP($BB73,'[1]ESAF_&amp;_PDAF_Summary'!$B$4:$E$18,4,0),1)</f>
        <v>1</v>
      </c>
      <c r="AT73" s="93" t="str">
        <f t="shared" si="12"/>
        <v>N/A</v>
      </c>
      <c r="AU73" s="93" t="str">
        <f t="shared" si="13"/>
        <v>N/A</v>
      </c>
      <c r="AV73" s="93">
        <v>0</v>
      </c>
      <c r="AW73" s="93" t="str">
        <f t="shared" si="14"/>
        <v>N/A</v>
      </c>
      <c r="AY73" s="93" t="str">
        <f t="shared" si="8"/>
        <v>N/A</v>
      </c>
      <c r="AZ73" s="98" t="str">
        <f>IF($E73="PGE",($AZ$4*$L73)+'[1]Water Costs'!I$16-AW73,IF($E73="SCE",$AZ$4+'[1]Water Costs'!$I$9,"N/A"))</f>
        <v>N/A</v>
      </c>
      <c r="BA73" s="98"/>
      <c r="BB73" s="93">
        <f t="shared" si="11"/>
        <v>13</v>
      </c>
    </row>
    <row r="74" spans="1:54" hidden="1" x14ac:dyDescent="0.35">
      <c r="A74" s="93" t="s">
        <v>139</v>
      </c>
      <c r="B74" s="93" t="s">
        <v>140</v>
      </c>
      <c r="C74" s="93" t="s">
        <v>141</v>
      </c>
      <c r="D74" s="111">
        <v>40944</v>
      </c>
      <c r="E74" s="93" t="s">
        <v>188</v>
      </c>
      <c r="F74" s="93" t="s">
        <v>172</v>
      </c>
      <c r="G74" s="93" t="s">
        <v>143</v>
      </c>
      <c r="H74" s="93" t="s">
        <v>144</v>
      </c>
      <c r="I74" s="93" t="s">
        <v>184</v>
      </c>
      <c r="J74" s="102" t="str">
        <f t="shared" si="7"/>
        <v>MFmCZ14</v>
      </c>
      <c r="K74" s="93" t="s">
        <v>146</v>
      </c>
      <c r="L74" s="93">
        <v>1.25</v>
      </c>
      <c r="M74" s="93">
        <v>1250</v>
      </c>
      <c r="N74" s="93" t="s">
        <v>147</v>
      </c>
      <c r="O74" s="93">
        <v>0</v>
      </c>
      <c r="P74" s="93">
        <v>0</v>
      </c>
      <c r="Q74" s="93">
        <v>0</v>
      </c>
      <c r="R74" s="93">
        <v>989</v>
      </c>
      <c r="S74" s="93">
        <v>1.47</v>
      </c>
      <c r="T74" s="93">
        <v>-15.3</v>
      </c>
      <c r="U74" s="93">
        <v>0</v>
      </c>
      <c r="V74" s="93">
        <v>0</v>
      </c>
      <c r="W74" s="93">
        <v>0</v>
      </c>
      <c r="X74" s="93">
        <v>636</v>
      </c>
      <c r="Y74" s="93">
        <v>0.98599999999999999</v>
      </c>
      <c r="Z74" s="93">
        <v>-15.7</v>
      </c>
      <c r="AC74" s="93">
        <v>2</v>
      </c>
      <c r="AD74" s="93" t="s">
        <v>173</v>
      </c>
      <c r="AE74" s="93" t="s">
        <v>149</v>
      </c>
      <c r="AF74" s="93" t="s">
        <v>185</v>
      </c>
      <c r="AG74" s="93" t="s">
        <v>188</v>
      </c>
      <c r="AH74" s="93" t="s">
        <v>139</v>
      </c>
      <c r="AI74" s="93" t="s">
        <v>147</v>
      </c>
      <c r="AJ74" s="93" t="s">
        <v>37</v>
      </c>
      <c r="AK74" s="93" t="s">
        <v>152</v>
      </c>
      <c r="AM74" s="93" t="s">
        <v>37</v>
      </c>
      <c r="AN74" s="93" t="s">
        <v>153</v>
      </c>
      <c r="AO74" s="93" t="s">
        <v>154</v>
      </c>
      <c r="AP74" s="93" t="s">
        <v>155</v>
      </c>
      <c r="AQ74" s="113">
        <f>IF($E74="SCE",VLOOKUP($BB74,'[1]ESAF_&amp;_PDAF_Summary'!$B$4:$D$18,2,0),1)</f>
        <v>1</v>
      </c>
      <c r="AR74" s="113">
        <f>IF($E74="SCE",VLOOKUP($BB74,'[1]ESAF_&amp;_PDAF_Summary'!$B$4:$D$18,3,0),1)</f>
        <v>1</v>
      </c>
      <c r="AS74" s="113">
        <f>IF($E74="SCE",VLOOKUP($BB74,'[1]ESAF_&amp;_PDAF_Summary'!$B$4:$E$18,4,0),1)</f>
        <v>1</v>
      </c>
      <c r="AT74" s="93" t="str">
        <f t="shared" si="12"/>
        <v>N/A</v>
      </c>
      <c r="AU74" s="93" t="str">
        <f t="shared" si="13"/>
        <v>N/A</v>
      </c>
      <c r="AV74" s="93">
        <v>0</v>
      </c>
      <c r="AW74" s="93" t="str">
        <f t="shared" si="14"/>
        <v>N/A</v>
      </c>
      <c r="AY74" s="93" t="str">
        <f t="shared" si="8"/>
        <v>N/A</v>
      </c>
      <c r="AZ74" s="98" t="str">
        <f>IF($E74="PGE",($AZ$4*$L74)+'[1]Water Costs'!I$16-AW74,IF($E74="SCE",$AZ$4+'[1]Water Costs'!$I$9,"N/A"))</f>
        <v>N/A</v>
      </c>
      <c r="BA74" s="98"/>
      <c r="BB74" s="93">
        <f t="shared" si="11"/>
        <v>14</v>
      </c>
    </row>
    <row r="75" spans="1:54" hidden="1" x14ac:dyDescent="0.35">
      <c r="A75" s="93" t="s">
        <v>139</v>
      </c>
      <c r="B75" s="93" t="s">
        <v>140</v>
      </c>
      <c r="C75" s="93" t="s">
        <v>141</v>
      </c>
      <c r="D75" s="111">
        <v>40944</v>
      </c>
      <c r="E75" s="93" t="s">
        <v>188</v>
      </c>
      <c r="F75" s="93" t="s">
        <v>172</v>
      </c>
      <c r="G75" s="93" t="s">
        <v>143</v>
      </c>
      <c r="H75" s="93" t="s">
        <v>144</v>
      </c>
      <c r="I75" s="93" t="s">
        <v>186</v>
      </c>
      <c r="J75" s="102" t="str">
        <f t="shared" ref="J75:J104" si="15">CONCATENATE(F75,I75)</f>
        <v>MFmCZ15</v>
      </c>
      <c r="K75" s="93" t="s">
        <v>146</v>
      </c>
      <c r="L75" s="93">
        <v>1.26</v>
      </c>
      <c r="M75" s="93">
        <v>1260</v>
      </c>
      <c r="N75" s="93" t="s">
        <v>147</v>
      </c>
      <c r="O75" s="93">
        <v>0</v>
      </c>
      <c r="P75" s="93">
        <v>0</v>
      </c>
      <c r="Q75" s="93">
        <v>0</v>
      </c>
      <c r="R75" s="93">
        <v>1930</v>
      </c>
      <c r="S75" s="93">
        <v>1.52</v>
      </c>
      <c r="T75" s="93">
        <v>-4.0999999999999996</v>
      </c>
      <c r="U75" s="93">
        <v>0</v>
      </c>
      <c r="V75" s="93">
        <v>0</v>
      </c>
      <c r="W75" s="93">
        <v>0</v>
      </c>
      <c r="X75" s="93">
        <v>1130</v>
      </c>
      <c r="Y75" s="93">
        <v>1.01</v>
      </c>
      <c r="Z75" s="93">
        <v>-4.2699999999999996</v>
      </c>
      <c r="AC75" s="93">
        <v>2</v>
      </c>
      <c r="AD75" s="93" t="s">
        <v>173</v>
      </c>
      <c r="AE75" s="93" t="s">
        <v>149</v>
      </c>
      <c r="AF75" s="93" t="s">
        <v>187</v>
      </c>
      <c r="AG75" s="93" t="s">
        <v>188</v>
      </c>
      <c r="AH75" s="93" t="s">
        <v>139</v>
      </c>
      <c r="AI75" s="93" t="s">
        <v>147</v>
      </c>
      <c r="AJ75" s="93" t="s">
        <v>37</v>
      </c>
      <c r="AK75" s="93" t="s">
        <v>152</v>
      </c>
      <c r="AM75" s="93" t="s">
        <v>37</v>
      </c>
      <c r="AN75" s="93" t="s">
        <v>153</v>
      </c>
      <c r="AO75" s="93" t="s">
        <v>154</v>
      </c>
      <c r="AP75" s="93" t="s">
        <v>155</v>
      </c>
      <c r="AQ75" s="113">
        <f>IF($E75="SCE",VLOOKUP($BB75,'[1]ESAF_&amp;_PDAF_Summary'!$B$4:$D$18,2,0),1)</f>
        <v>1</v>
      </c>
      <c r="AR75" s="113">
        <f>IF($E75="SCE",VLOOKUP($BB75,'[1]ESAF_&amp;_PDAF_Summary'!$B$4:$D$18,3,0),1)</f>
        <v>1</v>
      </c>
      <c r="AS75" s="113">
        <f>IF($E75="SCE",VLOOKUP($BB75,'[1]ESAF_&amp;_PDAF_Summary'!$B$4:$E$18,4,0),1)</f>
        <v>1</v>
      </c>
      <c r="AT75" s="93" t="str">
        <f t="shared" si="12"/>
        <v>N/A</v>
      </c>
      <c r="AU75" s="93" t="str">
        <f t="shared" si="13"/>
        <v>N/A</v>
      </c>
      <c r="AV75" s="93">
        <v>0</v>
      </c>
      <c r="AW75" s="93" t="str">
        <f t="shared" si="14"/>
        <v>N/A</v>
      </c>
      <c r="AY75" s="93" t="str">
        <f t="shared" si="8"/>
        <v>N/A</v>
      </c>
      <c r="AZ75" s="98" t="str">
        <f>IF($E75="PGE",($AZ$4*$L75)+'[1]Water Costs'!I$16-AW75,IF($E75="SCE",$AZ$4+'[1]Water Costs'!$I$9,"N/A"))</f>
        <v>N/A</v>
      </c>
      <c r="BA75" s="98"/>
      <c r="BB75" s="93">
        <f t="shared" si="11"/>
        <v>15</v>
      </c>
    </row>
    <row r="76" spans="1:54" hidden="1" x14ac:dyDescent="0.35">
      <c r="A76" s="93" t="s">
        <v>139</v>
      </c>
      <c r="B76" s="93" t="s">
        <v>140</v>
      </c>
      <c r="C76" s="93" t="s">
        <v>141</v>
      </c>
      <c r="D76" s="111">
        <v>40944</v>
      </c>
      <c r="E76" s="93" t="s">
        <v>188</v>
      </c>
      <c r="F76" s="93" t="s">
        <v>172</v>
      </c>
      <c r="G76" s="93" t="s">
        <v>143</v>
      </c>
      <c r="H76" s="93" t="s">
        <v>144</v>
      </c>
      <c r="I76" s="93" t="s">
        <v>170</v>
      </c>
      <c r="J76" s="102" t="str">
        <f t="shared" si="15"/>
        <v>MFmCZ16</v>
      </c>
      <c r="K76" s="93" t="s">
        <v>146</v>
      </c>
      <c r="L76" s="93">
        <v>1</v>
      </c>
      <c r="M76" s="93">
        <v>1000</v>
      </c>
      <c r="N76" s="93" t="s">
        <v>147</v>
      </c>
      <c r="O76" s="93">
        <v>0</v>
      </c>
      <c r="P76" s="93">
        <v>0</v>
      </c>
      <c r="Q76" s="93">
        <v>0</v>
      </c>
      <c r="R76" s="93">
        <v>250</v>
      </c>
      <c r="S76" s="93">
        <v>1.1200000000000001</v>
      </c>
      <c r="T76" s="93">
        <v>-34.700000000000003</v>
      </c>
      <c r="U76" s="93">
        <v>0</v>
      </c>
      <c r="V76" s="93">
        <v>0</v>
      </c>
      <c r="W76" s="93">
        <v>0</v>
      </c>
      <c r="X76" s="93">
        <v>135</v>
      </c>
      <c r="Y76" s="93">
        <v>0.71299999999999997</v>
      </c>
      <c r="Z76" s="93">
        <v>-35.700000000000003</v>
      </c>
      <c r="AC76" s="93">
        <v>2</v>
      </c>
      <c r="AD76" s="93" t="s">
        <v>173</v>
      </c>
      <c r="AE76" s="93" t="s">
        <v>149</v>
      </c>
      <c r="AF76" s="93" t="s">
        <v>171</v>
      </c>
      <c r="AG76" s="93" t="s">
        <v>188</v>
      </c>
      <c r="AH76" s="93" t="s">
        <v>139</v>
      </c>
      <c r="AI76" s="93" t="s">
        <v>147</v>
      </c>
      <c r="AJ76" s="93" t="s">
        <v>37</v>
      </c>
      <c r="AK76" s="93" t="s">
        <v>152</v>
      </c>
      <c r="AM76" s="93" t="s">
        <v>37</v>
      </c>
      <c r="AN76" s="93" t="s">
        <v>153</v>
      </c>
      <c r="AO76" s="93" t="s">
        <v>154</v>
      </c>
      <c r="AP76" s="93" t="s">
        <v>155</v>
      </c>
      <c r="AQ76" s="113">
        <f>IF($E76="SCE",VLOOKUP($BB76,'[1]ESAF_&amp;_PDAF_Summary'!$B$4:$D$18,2,0),1)</f>
        <v>1</v>
      </c>
      <c r="AR76" s="113">
        <f>IF($E76="SCE",VLOOKUP($BB76,'[1]ESAF_&amp;_PDAF_Summary'!$B$4:$D$18,3,0),1)</f>
        <v>1</v>
      </c>
      <c r="AS76" s="113">
        <f>IF($E76="SCE",VLOOKUP($BB76,'[1]ESAF_&amp;_PDAF_Summary'!$B$4:$E$18,4,0),1)</f>
        <v>1</v>
      </c>
      <c r="AT76" s="93" t="str">
        <f t="shared" si="12"/>
        <v>N/A</v>
      </c>
      <c r="AU76" s="93" t="str">
        <f t="shared" si="13"/>
        <v>N/A</v>
      </c>
      <c r="AV76" s="93">
        <v>0</v>
      </c>
      <c r="AW76" s="93" t="str">
        <f t="shared" si="14"/>
        <v>N/A</v>
      </c>
      <c r="AY76" s="93" t="str">
        <f t="shared" si="8"/>
        <v>N/A</v>
      </c>
      <c r="AZ76" s="98" t="str">
        <f>IF($E76="PGE",($AZ$4*$L76)+'[1]Water Costs'!I$16-AW76,IF($E76="SCE",$AZ$4+'[1]Water Costs'!$I$9,"N/A"))</f>
        <v>N/A</v>
      </c>
      <c r="BA76" s="98"/>
      <c r="BB76" s="93">
        <f t="shared" si="11"/>
        <v>16</v>
      </c>
    </row>
    <row r="77" spans="1:54" hidden="1" x14ac:dyDescent="0.35">
      <c r="A77" s="93" t="s">
        <v>139</v>
      </c>
      <c r="B77" s="93" t="s">
        <v>140</v>
      </c>
      <c r="C77" s="93" t="s">
        <v>141</v>
      </c>
      <c r="D77" s="111">
        <v>40944</v>
      </c>
      <c r="E77" s="93" t="s">
        <v>188</v>
      </c>
      <c r="F77" s="93" t="s">
        <v>174</v>
      </c>
      <c r="G77" s="93" t="s">
        <v>143</v>
      </c>
      <c r="H77" s="93" t="s">
        <v>144</v>
      </c>
      <c r="I77" s="93" t="s">
        <v>160</v>
      </c>
      <c r="J77" s="102" t="str">
        <f t="shared" si="15"/>
        <v>SFmCZ04</v>
      </c>
      <c r="K77" s="93" t="s">
        <v>146</v>
      </c>
      <c r="L77" s="93">
        <v>1.92</v>
      </c>
      <c r="M77" s="93">
        <v>1920</v>
      </c>
      <c r="N77" s="93" t="s">
        <v>147</v>
      </c>
      <c r="O77" s="93">
        <v>0</v>
      </c>
      <c r="P77" s="93">
        <v>0</v>
      </c>
      <c r="Q77" s="93">
        <v>0</v>
      </c>
      <c r="R77" s="93">
        <v>393</v>
      </c>
      <c r="S77" s="93">
        <v>0.85399999999999998</v>
      </c>
      <c r="T77" s="93">
        <v>-37.5</v>
      </c>
      <c r="U77" s="93">
        <v>0</v>
      </c>
      <c r="V77" s="93">
        <v>0</v>
      </c>
      <c r="W77" s="93">
        <v>0</v>
      </c>
      <c r="X77" s="93">
        <v>206</v>
      </c>
      <c r="Y77" s="93">
        <v>0.58799999999999997</v>
      </c>
      <c r="Z77" s="93">
        <v>-37.9</v>
      </c>
      <c r="AC77" s="93">
        <v>2</v>
      </c>
      <c r="AD77" s="93" t="s">
        <v>175</v>
      </c>
      <c r="AE77" s="93" t="s">
        <v>149</v>
      </c>
      <c r="AF77" s="93" t="s">
        <v>161</v>
      </c>
      <c r="AG77" s="93" t="s">
        <v>188</v>
      </c>
      <c r="AH77" s="93" t="s">
        <v>139</v>
      </c>
      <c r="AI77" s="93" t="s">
        <v>147</v>
      </c>
      <c r="AJ77" s="93" t="s">
        <v>37</v>
      </c>
      <c r="AK77" s="93" t="s">
        <v>152</v>
      </c>
      <c r="AM77" s="93" t="s">
        <v>37</v>
      </c>
      <c r="AN77" s="93" t="s">
        <v>153</v>
      </c>
      <c r="AO77" s="93" t="s">
        <v>154</v>
      </c>
      <c r="AP77" s="93" t="s">
        <v>155</v>
      </c>
      <c r="AQ77" s="113">
        <f>IF($E77="SCE",VLOOKUP($BB77,'[1]ESAF_&amp;_PDAF_Summary'!$B$4:$D$18,2,0),1)</f>
        <v>1</v>
      </c>
      <c r="AR77" s="113">
        <f>IF($E77="SCE",VLOOKUP($BB77,'[1]ESAF_&amp;_PDAF_Summary'!$B$4:$D$18,3,0),1)</f>
        <v>1</v>
      </c>
      <c r="AS77" s="113">
        <f>IF($E77="SCE",VLOOKUP($BB77,'[1]ESAF_&amp;_PDAF_Summary'!$B$4:$E$18,4,0),1)</f>
        <v>1</v>
      </c>
      <c r="AT77" s="93" t="str">
        <f t="shared" si="12"/>
        <v>N/A</v>
      </c>
      <c r="AU77" s="95" t="str">
        <f t="shared" si="13"/>
        <v>N/A</v>
      </c>
      <c r="AV77" s="93">
        <v>0</v>
      </c>
      <c r="AW77" s="93" t="str">
        <f t="shared" si="14"/>
        <v>N/A</v>
      </c>
      <c r="AY77" s="93" t="str">
        <f t="shared" si="8"/>
        <v>N/A</v>
      </c>
      <c r="AZ77" s="98" t="str">
        <f>IF($E77="PGE",($AZ$4*$L77)+'[1]Water Costs'!I$16-AW77,IF($E77="SCE",$AZ$4+'[1]Water Costs'!$I$9,"N/A"))</f>
        <v>N/A</v>
      </c>
      <c r="BA77" s="98"/>
      <c r="BB77" s="93">
        <f t="shared" si="11"/>
        <v>4</v>
      </c>
    </row>
    <row r="78" spans="1:54" hidden="1" x14ac:dyDescent="0.35">
      <c r="A78" s="93" t="s">
        <v>139</v>
      </c>
      <c r="B78" s="93" t="s">
        <v>140</v>
      </c>
      <c r="C78" s="93" t="s">
        <v>141</v>
      </c>
      <c r="D78" s="111">
        <v>40944</v>
      </c>
      <c r="E78" s="93" t="s">
        <v>188</v>
      </c>
      <c r="F78" s="93" t="s">
        <v>174</v>
      </c>
      <c r="G78" s="93" t="s">
        <v>143</v>
      </c>
      <c r="H78" s="93" t="s">
        <v>144</v>
      </c>
      <c r="I78" s="93" t="s">
        <v>162</v>
      </c>
      <c r="J78" s="102" t="str">
        <f t="shared" si="15"/>
        <v>SFmCZ05</v>
      </c>
      <c r="K78" s="93" t="s">
        <v>146</v>
      </c>
      <c r="L78" s="93">
        <v>1.77</v>
      </c>
      <c r="M78" s="93">
        <v>1770</v>
      </c>
      <c r="N78" s="93" t="s">
        <v>147</v>
      </c>
      <c r="O78" s="93">
        <v>0</v>
      </c>
      <c r="P78" s="93">
        <v>0</v>
      </c>
      <c r="Q78" s="93">
        <v>0</v>
      </c>
      <c r="R78" s="93">
        <v>203</v>
      </c>
      <c r="S78" s="93">
        <v>1.38</v>
      </c>
      <c r="T78" s="93">
        <v>-41.7</v>
      </c>
      <c r="U78" s="93">
        <v>0</v>
      </c>
      <c r="V78" s="93">
        <v>0</v>
      </c>
      <c r="W78" s="93">
        <v>0</v>
      </c>
      <c r="X78" s="93">
        <v>102</v>
      </c>
      <c r="Y78" s="93">
        <v>0.876</v>
      </c>
      <c r="Z78" s="93">
        <v>-42.2</v>
      </c>
      <c r="AC78" s="93">
        <v>2</v>
      </c>
      <c r="AD78" s="93" t="s">
        <v>175</v>
      </c>
      <c r="AE78" s="93" t="s">
        <v>149</v>
      </c>
      <c r="AF78" s="93" t="s">
        <v>163</v>
      </c>
      <c r="AG78" s="93" t="s">
        <v>188</v>
      </c>
      <c r="AH78" s="93" t="s">
        <v>139</v>
      </c>
      <c r="AI78" s="93" t="s">
        <v>147</v>
      </c>
      <c r="AJ78" s="93" t="s">
        <v>37</v>
      </c>
      <c r="AK78" s="93" t="s">
        <v>152</v>
      </c>
      <c r="AM78" s="93" t="s">
        <v>37</v>
      </c>
      <c r="AN78" s="93" t="s">
        <v>153</v>
      </c>
      <c r="AO78" s="93" t="s">
        <v>154</v>
      </c>
      <c r="AP78" s="93" t="s">
        <v>155</v>
      </c>
      <c r="AQ78" s="113">
        <f>IF($E78="SCE",VLOOKUP($BB78,'[1]ESAF_&amp;_PDAF_Summary'!$B$4:$D$18,2,0),1)</f>
        <v>1</v>
      </c>
      <c r="AR78" s="113">
        <f>IF($E78="SCE",VLOOKUP($BB78,'[1]ESAF_&amp;_PDAF_Summary'!$B$4:$D$18,3,0),1)</f>
        <v>1</v>
      </c>
      <c r="AS78" s="113">
        <f>IF($E78="SCE",VLOOKUP($BB78,'[1]ESAF_&amp;_PDAF_Summary'!$B$4:$E$18,4,0),1)</f>
        <v>1</v>
      </c>
      <c r="AT78" s="93" t="str">
        <f t="shared" si="12"/>
        <v>N/A</v>
      </c>
      <c r="AU78" s="95" t="str">
        <f t="shared" si="13"/>
        <v>N/A</v>
      </c>
      <c r="AV78" s="93">
        <v>0</v>
      </c>
      <c r="AW78" s="93" t="str">
        <f t="shared" si="14"/>
        <v>N/A</v>
      </c>
      <c r="AY78" s="93" t="str">
        <f t="shared" si="8"/>
        <v>N/A</v>
      </c>
      <c r="AZ78" s="98" t="str">
        <f>IF($E78="PGE",($AZ$4*$L78)+'[1]Water Costs'!I$16-AW78,IF($E78="SCE",$AZ$4+'[1]Water Costs'!$I$9,"N/A"))</f>
        <v>N/A</v>
      </c>
      <c r="BA78" s="98"/>
      <c r="BB78" s="93">
        <f t="shared" si="11"/>
        <v>5</v>
      </c>
    </row>
    <row r="79" spans="1:54" hidden="1" x14ac:dyDescent="0.35">
      <c r="A79" s="93" t="s">
        <v>139</v>
      </c>
      <c r="B79" s="93" t="s">
        <v>140</v>
      </c>
      <c r="C79" s="93" t="s">
        <v>141</v>
      </c>
      <c r="D79" s="111">
        <v>40944</v>
      </c>
      <c r="E79" s="93" t="s">
        <v>188</v>
      </c>
      <c r="F79" s="93" t="s">
        <v>174</v>
      </c>
      <c r="G79" s="93" t="s">
        <v>143</v>
      </c>
      <c r="H79" s="93" t="s">
        <v>144</v>
      </c>
      <c r="I79" s="93" t="s">
        <v>176</v>
      </c>
      <c r="J79" s="102" t="str">
        <f t="shared" si="15"/>
        <v>SFmCZ06</v>
      </c>
      <c r="K79" s="93" t="s">
        <v>146</v>
      </c>
      <c r="L79" s="93">
        <v>1.8</v>
      </c>
      <c r="M79" s="93">
        <v>1800</v>
      </c>
      <c r="N79" s="93" t="s">
        <v>147</v>
      </c>
      <c r="O79" s="93">
        <v>0</v>
      </c>
      <c r="P79" s="93">
        <v>0</v>
      </c>
      <c r="Q79" s="93">
        <v>0</v>
      </c>
      <c r="R79" s="93">
        <v>318</v>
      </c>
      <c r="S79" s="93">
        <v>1.26</v>
      </c>
      <c r="T79" s="93">
        <v>-25.2</v>
      </c>
      <c r="U79" s="93">
        <v>0</v>
      </c>
      <c r="V79" s="93">
        <v>0</v>
      </c>
      <c r="W79" s="93">
        <v>0</v>
      </c>
      <c r="X79" s="93">
        <v>174</v>
      </c>
      <c r="Y79" s="93">
        <v>0.749</v>
      </c>
      <c r="Z79" s="93">
        <v>-25.4</v>
      </c>
      <c r="AC79" s="93">
        <v>2</v>
      </c>
      <c r="AD79" s="93" t="s">
        <v>175</v>
      </c>
      <c r="AE79" s="93" t="s">
        <v>149</v>
      </c>
      <c r="AF79" s="93" t="s">
        <v>177</v>
      </c>
      <c r="AG79" s="93" t="s">
        <v>188</v>
      </c>
      <c r="AH79" s="93" t="s">
        <v>139</v>
      </c>
      <c r="AI79" s="93" t="s">
        <v>147</v>
      </c>
      <c r="AJ79" s="93" t="s">
        <v>37</v>
      </c>
      <c r="AK79" s="93" t="s">
        <v>152</v>
      </c>
      <c r="AM79" s="93" t="s">
        <v>37</v>
      </c>
      <c r="AN79" s="93" t="s">
        <v>153</v>
      </c>
      <c r="AO79" s="93" t="s">
        <v>154</v>
      </c>
      <c r="AP79" s="93" t="s">
        <v>155</v>
      </c>
      <c r="AQ79" s="113">
        <f>IF($E79="SCE",VLOOKUP($BB79,'[1]ESAF_&amp;_PDAF_Summary'!$B$4:$D$18,2,0),1)</f>
        <v>1</v>
      </c>
      <c r="AR79" s="113">
        <f>IF($E79="SCE",VLOOKUP($BB79,'[1]ESAF_&amp;_PDAF_Summary'!$B$4:$D$18,3,0),1)</f>
        <v>1</v>
      </c>
      <c r="AS79" s="113">
        <f>IF($E79="SCE",VLOOKUP($BB79,'[1]ESAF_&amp;_PDAF_Summary'!$B$4:$E$18,4,0),1)</f>
        <v>1</v>
      </c>
      <c r="AT79" s="93" t="str">
        <f t="shared" si="12"/>
        <v>N/A</v>
      </c>
      <c r="AU79" s="93" t="str">
        <f t="shared" si="13"/>
        <v>N/A</v>
      </c>
      <c r="AV79" s="93">
        <v>0</v>
      </c>
      <c r="AW79" s="93" t="str">
        <f t="shared" si="14"/>
        <v>N/A</v>
      </c>
      <c r="AY79" s="93" t="str">
        <f t="shared" si="8"/>
        <v>N/A</v>
      </c>
      <c r="AZ79" s="98" t="str">
        <f>IF($E79="PGE",($AZ$4*$L79)+'[1]Water Costs'!I$16-AW79,IF($E79="SCE",$AZ$4+'[1]Water Costs'!$I$9,"N/A"))</f>
        <v>N/A</v>
      </c>
      <c r="BA79" s="98"/>
      <c r="BB79" s="93">
        <f t="shared" si="11"/>
        <v>6</v>
      </c>
    </row>
    <row r="80" spans="1:54" hidden="1" x14ac:dyDescent="0.35">
      <c r="A80" s="93" t="s">
        <v>139</v>
      </c>
      <c r="B80" s="93" t="s">
        <v>140</v>
      </c>
      <c r="C80" s="93" t="s">
        <v>141</v>
      </c>
      <c r="D80" s="111">
        <v>40944</v>
      </c>
      <c r="E80" s="93" t="s">
        <v>188</v>
      </c>
      <c r="F80" s="93" t="s">
        <v>174</v>
      </c>
      <c r="G80" s="93" t="s">
        <v>143</v>
      </c>
      <c r="H80" s="93" t="s">
        <v>144</v>
      </c>
      <c r="I80" s="93" t="s">
        <v>189</v>
      </c>
      <c r="J80" s="102" t="str">
        <f t="shared" si="15"/>
        <v>SFmCZ07</v>
      </c>
      <c r="K80" s="93" t="s">
        <v>146</v>
      </c>
      <c r="L80" s="93">
        <v>1.66</v>
      </c>
      <c r="M80" s="93">
        <v>1660</v>
      </c>
      <c r="N80" s="93" t="s">
        <v>147</v>
      </c>
      <c r="O80" s="93">
        <v>0</v>
      </c>
      <c r="P80" s="93">
        <v>0</v>
      </c>
      <c r="Q80" s="93">
        <v>0</v>
      </c>
      <c r="R80" s="93">
        <v>446</v>
      </c>
      <c r="S80" s="93">
        <v>0.997</v>
      </c>
      <c r="T80" s="93">
        <v>-22.4</v>
      </c>
      <c r="U80" s="93">
        <v>0</v>
      </c>
      <c r="V80" s="93">
        <v>0</v>
      </c>
      <c r="W80" s="93">
        <v>0</v>
      </c>
      <c r="X80" s="93">
        <v>232</v>
      </c>
      <c r="Y80" s="93">
        <v>0.56200000000000006</v>
      </c>
      <c r="Z80" s="93">
        <v>-22.8</v>
      </c>
      <c r="AC80" s="93">
        <v>2</v>
      </c>
      <c r="AD80" s="93" t="s">
        <v>175</v>
      </c>
      <c r="AE80" s="93" t="s">
        <v>149</v>
      </c>
      <c r="AF80" s="93" t="s">
        <v>190</v>
      </c>
      <c r="AG80" s="93" t="s">
        <v>188</v>
      </c>
      <c r="AH80" s="93" t="s">
        <v>139</v>
      </c>
      <c r="AI80" s="93" t="s">
        <v>147</v>
      </c>
      <c r="AJ80" s="93" t="s">
        <v>37</v>
      </c>
      <c r="AK80" s="93" t="s">
        <v>152</v>
      </c>
      <c r="AM80" s="93" t="s">
        <v>37</v>
      </c>
      <c r="AN80" s="93" t="s">
        <v>153</v>
      </c>
      <c r="AO80" s="93" t="s">
        <v>154</v>
      </c>
      <c r="AP80" s="93" t="s">
        <v>155</v>
      </c>
      <c r="AQ80" s="113">
        <f>IF($E80="SCE",VLOOKUP($BB80,'[1]ESAF_&amp;_PDAF_Summary'!$B$4:$D$18,2,0),1)</f>
        <v>1</v>
      </c>
      <c r="AR80" s="113">
        <f>IF($E80="SCE",VLOOKUP($BB80,'[1]ESAF_&amp;_PDAF_Summary'!$B$4:$D$18,3,0),1)</f>
        <v>1</v>
      </c>
      <c r="AS80" s="113">
        <f>IF($E80="SCE",VLOOKUP($BB80,'[1]ESAF_&amp;_PDAF_Summary'!$B$4:$E$18,4,0),1)</f>
        <v>1</v>
      </c>
      <c r="AT80" s="93" t="str">
        <f t="shared" si="12"/>
        <v>N/A</v>
      </c>
      <c r="AU80" s="93" t="str">
        <f t="shared" si="13"/>
        <v>N/A</v>
      </c>
      <c r="AV80" s="93">
        <v>0</v>
      </c>
      <c r="AW80" s="93" t="str">
        <f t="shared" si="14"/>
        <v>N/A</v>
      </c>
      <c r="AY80" s="93" t="str">
        <f t="shared" si="8"/>
        <v>N/A</v>
      </c>
      <c r="AZ80" s="98" t="str">
        <f>IF($E80="PGE",($AZ$4*$L80)+'[1]Water Costs'!I$16-AW80,IF($E80="SCE",$AZ$4+'[1]Water Costs'!$I$9,"N/A"))</f>
        <v>N/A</v>
      </c>
      <c r="BA80" s="98"/>
      <c r="BB80" s="93">
        <f t="shared" si="11"/>
        <v>7</v>
      </c>
    </row>
    <row r="81" spans="1:54" hidden="1" x14ac:dyDescent="0.35">
      <c r="A81" s="93" t="s">
        <v>139</v>
      </c>
      <c r="B81" s="93" t="s">
        <v>140</v>
      </c>
      <c r="C81" s="93" t="s">
        <v>141</v>
      </c>
      <c r="D81" s="111">
        <v>40944</v>
      </c>
      <c r="E81" s="93" t="s">
        <v>188</v>
      </c>
      <c r="F81" s="93" t="s">
        <v>174</v>
      </c>
      <c r="G81" s="93" t="s">
        <v>143</v>
      </c>
      <c r="H81" s="93" t="s">
        <v>144</v>
      </c>
      <c r="I81" s="93" t="s">
        <v>178</v>
      </c>
      <c r="J81" s="102" t="str">
        <f t="shared" si="15"/>
        <v>SFmCZ08</v>
      </c>
      <c r="K81" s="93" t="s">
        <v>146</v>
      </c>
      <c r="L81" s="93">
        <v>1.65</v>
      </c>
      <c r="M81" s="93">
        <v>1650</v>
      </c>
      <c r="N81" s="93" t="s">
        <v>147</v>
      </c>
      <c r="O81" s="93">
        <v>0</v>
      </c>
      <c r="P81" s="93">
        <v>0</v>
      </c>
      <c r="Q81" s="93">
        <v>0</v>
      </c>
      <c r="R81" s="93">
        <v>775</v>
      </c>
      <c r="S81" s="93">
        <v>1.45</v>
      </c>
      <c r="T81" s="93">
        <v>-28</v>
      </c>
      <c r="U81" s="93">
        <v>0</v>
      </c>
      <c r="V81" s="93">
        <v>0</v>
      </c>
      <c r="W81" s="93">
        <v>0</v>
      </c>
      <c r="X81" s="93">
        <v>407</v>
      </c>
      <c r="Y81" s="93">
        <v>0.95499999999999996</v>
      </c>
      <c r="Z81" s="93">
        <v>-28.3</v>
      </c>
      <c r="AC81" s="93">
        <v>2</v>
      </c>
      <c r="AD81" s="93" t="s">
        <v>175</v>
      </c>
      <c r="AE81" s="93" t="s">
        <v>149</v>
      </c>
      <c r="AF81" s="93" t="s">
        <v>179</v>
      </c>
      <c r="AG81" s="93" t="s">
        <v>188</v>
      </c>
      <c r="AH81" s="93" t="s">
        <v>139</v>
      </c>
      <c r="AI81" s="93" t="s">
        <v>147</v>
      </c>
      <c r="AJ81" s="93" t="s">
        <v>37</v>
      </c>
      <c r="AK81" s="93" t="s">
        <v>152</v>
      </c>
      <c r="AM81" s="93" t="s">
        <v>37</v>
      </c>
      <c r="AN81" s="93" t="s">
        <v>153</v>
      </c>
      <c r="AO81" s="93" t="s">
        <v>154</v>
      </c>
      <c r="AP81" s="93" t="s">
        <v>155</v>
      </c>
      <c r="AQ81" s="113">
        <f>IF($E81="SCE",VLOOKUP($BB81,'[1]ESAF_&amp;_PDAF_Summary'!$B$4:$D$18,2,0),1)</f>
        <v>1</v>
      </c>
      <c r="AR81" s="113">
        <f>IF($E81="SCE",VLOOKUP($BB81,'[1]ESAF_&amp;_PDAF_Summary'!$B$4:$D$18,3,0),1)</f>
        <v>1</v>
      </c>
      <c r="AS81" s="113">
        <f>IF($E81="SCE",VLOOKUP($BB81,'[1]ESAF_&amp;_PDAF_Summary'!$B$4:$E$18,4,0),1)</f>
        <v>1</v>
      </c>
      <c r="AT81" s="93" t="str">
        <f t="shared" si="12"/>
        <v>N/A</v>
      </c>
      <c r="AU81" s="93" t="str">
        <f t="shared" si="13"/>
        <v>N/A</v>
      </c>
      <c r="AV81" s="93">
        <v>0</v>
      </c>
      <c r="AW81" s="93" t="str">
        <f t="shared" si="14"/>
        <v>N/A</v>
      </c>
      <c r="AY81" s="93" t="str">
        <f t="shared" si="8"/>
        <v>N/A</v>
      </c>
      <c r="AZ81" s="98" t="str">
        <f>IF($E81="PGE",($AZ$4*$L81)+'[1]Water Costs'!I$16-AW81,IF($E81="SCE",$AZ$4+'[1]Water Costs'!$I$9,"N/A"))</f>
        <v>N/A</v>
      </c>
      <c r="BA81" s="98"/>
      <c r="BB81" s="93">
        <f t="shared" si="11"/>
        <v>8</v>
      </c>
    </row>
    <row r="82" spans="1:54" hidden="1" x14ac:dyDescent="0.35">
      <c r="A82" s="93" t="s">
        <v>139</v>
      </c>
      <c r="B82" s="93" t="s">
        <v>140</v>
      </c>
      <c r="C82" s="93" t="s">
        <v>141</v>
      </c>
      <c r="D82" s="111">
        <v>40944</v>
      </c>
      <c r="E82" s="93" t="s">
        <v>188</v>
      </c>
      <c r="F82" s="93" t="s">
        <v>174</v>
      </c>
      <c r="G82" s="93" t="s">
        <v>143</v>
      </c>
      <c r="H82" s="93" t="s">
        <v>144</v>
      </c>
      <c r="I82" s="93" t="s">
        <v>180</v>
      </c>
      <c r="J82" s="102" t="str">
        <f t="shared" si="15"/>
        <v>SFmCZ09</v>
      </c>
      <c r="K82" s="93" t="s">
        <v>146</v>
      </c>
      <c r="L82" s="93">
        <v>1.71</v>
      </c>
      <c r="M82" s="93">
        <v>1710</v>
      </c>
      <c r="N82" s="93" t="s">
        <v>147</v>
      </c>
      <c r="O82" s="93">
        <v>0</v>
      </c>
      <c r="P82" s="93">
        <v>0</v>
      </c>
      <c r="Q82" s="93">
        <v>0</v>
      </c>
      <c r="R82" s="93">
        <v>914</v>
      </c>
      <c r="S82" s="93">
        <v>1.42</v>
      </c>
      <c r="T82" s="93">
        <v>-30.4</v>
      </c>
      <c r="U82" s="93">
        <v>0</v>
      </c>
      <c r="V82" s="93">
        <v>0</v>
      </c>
      <c r="W82" s="93">
        <v>0</v>
      </c>
      <c r="X82" s="93">
        <v>475</v>
      </c>
      <c r="Y82" s="93">
        <v>0.84699999999999998</v>
      </c>
      <c r="Z82" s="93">
        <v>-30.7</v>
      </c>
      <c r="AC82" s="93">
        <v>2</v>
      </c>
      <c r="AD82" s="93" t="s">
        <v>175</v>
      </c>
      <c r="AE82" s="93" t="s">
        <v>149</v>
      </c>
      <c r="AF82" s="93" t="s">
        <v>181</v>
      </c>
      <c r="AG82" s="93" t="s">
        <v>188</v>
      </c>
      <c r="AH82" s="93" t="s">
        <v>139</v>
      </c>
      <c r="AI82" s="93" t="s">
        <v>147</v>
      </c>
      <c r="AJ82" s="93" t="s">
        <v>37</v>
      </c>
      <c r="AK82" s="93" t="s">
        <v>152</v>
      </c>
      <c r="AM82" s="93" t="s">
        <v>37</v>
      </c>
      <c r="AN82" s="93" t="s">
        <v>153</v>
      </c>
      <c r="AO82" s="93" t="s">
        <v>154</v>
      </c>
      <c r="AP82" s="93" t="s">
        <v>155</v>
      </c>
      <c r="AQ82" s="113">
        <f>IF($E82="SCE",VLOOKUP($BB82,'[1]ESAF_&amp;_PDAF_Summary'!$B$4:$D$18,2,0),1)</f>
        <v>1</v>
      </c>
      <c r="AR82" s="113">
        <f>IF($E82="SCE",VLOOKUP($BB82,'[1]ESAF_&amp;_PDAF_Summary'!$B$4:$D$18,3,0),1)</f>
        <v>1</v>
      </c>
      <c r="AS82" s="113">
        <f>IF($E82="SCE",VLOOKUP($BB82,'[1]ESAF_&amp;_PDAF_Summary'!$B$4:$E$18,4,0),1)</f>
        <v>1</v>
      </c>
      <c r="AT82" s="93" t="str">
        <f t="shared" si="12"/>
        <v>N/A</v>
      </c>
      <c r="AU82" s="93" t="str">
        <f t="shared" si="13"/>
        <v>N/A</v>
      </c>
      <c r="AV82" s="93">
        <v>0</v>
      </c>
      <c r="AW82" s="93" t="str">
        <f t="shared" si="14"/>
        <v>N/A</v>
      </c>
      <c r="AY82" s="93" t="str">
        <f t="shared" si="8"/>
        <v>N/A</v>
      </c>
      <c r="AZ82" s="98" t="str">
        <f>IF($E82="PGE",($AZ$4*$L82)+'[1]Water Costs'!I$16-AW82,IF($E82="SCE",$AZ$4+'[1]Water Costs'!$I$9,"N/A"))</f>
        <v>N/A</v>
      </c>
      <c r="BA82" s="98"/>
      <c r="BB82" s="93">
        <f t="shared" si="11"/>
        <v>9</v>
      </c>
    </row>
    <row r="83" spans="1:54" hidden="1" x14ac:dyDescent="0.35">
      <c r="A83" s="93" t="s">
        <v>139</v>
      </c>
      <c r="B83" s="93" t="s">
        <v>140</v>
      </c>
      <c r="C83" s="93" t="s">
        <v>141</v>
      </c>
      <c r="D83" s="111">
        <v>40944</v>
      </c>
      <c r="E83" s="93" t="s">
        <v>188</v>
      </c>
      <c r="F83" s="93" t="s">
        <v>174</v>
      </c>
      <c r="G83" s="93" t="s">
        <v>143</v>
      </c>
      <c r="H83" s="93" t="s">
        <v>144</v>
      </c>
      <c r="I83" s="93" t="s">
        <v>182</v>
      </c>
      <c r="J83" s="102" t="str">
        <f t="shared" si="15"/>
        <v>SFmCZ10</v>
      </c>
      <c r="K83" s="93" t="s">
        <v>146</v>
      </c>
      <c r="L83" s="93">
        <v>1.85</v>
      </c>
      <c r="M83" s="93">
        <v>1850</v>
      </c>
      <c r="N83" s="93" t="s">
        <v>147</v>
      </c>
      <c r="O83" s="93">
        <v>0</v>
      </c>
      <c r="P83" s="93">
        <v>0</v>
      </c>
      <c r="Q83" s="93">
        <v>0</v>
      </c>
      <c r="R83" s="93">
        <v>897</v>
      </c>
      <c r="S83" s="93">
        <v>1.32</v>
      </c>
      <c r="T83" s="93">
        <v>-28.5</v>
      </c>
      <c r="U83" s="93">
        <v>0</v>
      </c>
      <c r="V83" s="93">
        <v>0</v>
      </c>
      <c r="W83" s="93">
        <v>0</v>
      </c>
      <c r="X83" s="93">
        <v>514</v>
      </c>
      <c r="Y83" s="93">
        <v>0.85099999999999998</v>
      </c>
      <c r="Z83" s="93">
        <v>-28.7</v>
      </c>
      <c r="AC83" s="93">
        <v>2</v>
      </c>
      <c r="AD83" s="93" t="s">
        <v>175</v>
      </c>
      <c r="AE83" s="93" t="s">
        <v>149</v>
      </c>
      <c r="AF83" s="93" t="s">
        <v>183</v>
      </c>
      <c r="AG83" s="93" t="s">
        <v>188</v>
      </c>
      <c r="AH83" s="93" t="s">
        <v>139</v>
      </c>
      <c r="AI83" s="93" t="s">
        <v>147</v>
      </c>
      <c r="AJ83" s="93" t="s">
        <v>37</v>
      </c>
      <c r="AK83" s="93" t="s">
        <v>152</v>
      </c>
      <c r="AM83" s="93" t="s">
        <v>37</v>
      </c>
      <c r="AN83" s="93" t="s">
        <v>153</v>
      </c>
      <c r="AO83" s="93" t="s">
        <v>154</v>
      </c>
      <c r="AP83" s="93" t="s">
        <v>155</v>
      </c>
      <c r="AQ83" s="113">
        <f>IF($E83="SCE",VLOOKUP($BB83,'[1]ESAF_&amp;_PDAF_Summary'!$B$4:$D$18,2,0),1)</f>
        <v>1</v>
      </c>
      <c r="AR83" s="113">
        <f>IF($E83="SCE",VLOOKUP($BB83,'[1]ESAF_&amp;_PDAF_Summary'!$B$4:$D$18,3,0),1)</f>
        <v>1</v>
      </c>
      <c r="AS83" s="113">
        <f>IF($E83="SCE",VLOOKUP($BB83,'[1]ESAF_&amp;_PDAF_Summary'!$B$4:$E$18,4,0),1)</f>
        <v>1</v>
      </c>
      <c r="AT83" s="93" t="str">
        <f t="shared" si="12"/>
        <v>N/A</v>
      </c>
      <c r="AU83" s="93" t="str">
        <f t="shared" si="13"/>
        <v>N/A</v>
      </c>
      <c r="AV83" s="93">
        <v>0</v>
      </c>
      <c r="AW83" s="93" t="str">
        <f t="shared" si="14"/>
        <v>N/A</v>
      </c>
      <c r="AY83" s="93" t="str">
        <f t="shared" si="8"/>
        <v>N/A</v>
      </c>
      <c r="AZ83" s="98" t="str">
        <f>IF($E83="PGE",($AZ$4*$L83)+'[1]Water Costs'!I$16-AW83,IF($E83="SCE",$AZ$4+'[1]Water Costs'!$I$9,"N/A"))</f>
        <v>N/A</v>
      </c>
      <c r="BA83" s="98"/>
      <c r="BB83" s="93">
        <f t="shared" si="11"/>
        <v>10</v>
      </c>
    </row>
    <row r="84" spans="1:54" hidden="1" x14ac:dyDescent="0.35">
      <c r="A84" s="93" t="s">
        <v>139</v>
      </c>
      <c r="B84" s="93" t="s">
        <v>140</v>
      </c>
      <c r="C84" s="93" t="s">
        <v>141</v>
      </c>
      <c r="D84" s="111">
        <v>40944</v>
      </c>
      <c r="E84" s="93" t="s">
        <v>188</v>
      </c>
      <c r="F84" s="93" t="s">
        <v>174</v>
      </c>
      <c r="G84" s="93" t="s">
        <v>143</v>
      </c>
      <c r="H84" s="93" t="s">
        <v>144</v>
      </c>
      <c r="I84" s="93" t="s">
        <v>168</v>
      </c>
      <c r="J84" s="102" t="str">
        <f t="shared" si="15"/>
        <v>SFmCZ13</v>
      </c>
      <c r="K84" s="93" t="s">
        <v>146</v>
      </c>
      <c r="L84" s="93">
        <v>1.73</v>
      </c>
      <c r="M84" s="93">
        <v>1730</v>
      </c>
      <c r="N84" s="93" t="s">
        <v>147</v>
      </c>
      <c r="O84" s="93">
        <v>0</v>
      </c>
      <c r="P84" s="93">
        <v>0</v>
      </c>
      <c r="Q84" s="93">
        <v>0</v>
      </c>
      <c r="R84" s="93">
        <v>1160</v>
      </c>
      <c r="S84" s="93">
        <v>1.39</v>
      </c>
      <c r="T84" s="93">
        <v>-36.6</v>
      </c>
      <c r="U84" s="93">
        <v>0</v>
      </c>
      <c r="V84" s="93">
        <v>0</v>
      </c>
      <c r="W84" s="93">
        <v>0</v>
      </c>
      <c r="X84" s="93">
        <v>668</v>
      </c>
      <c r="Y84" s="93">
        <v>0.89900000000000002</v>
      </c>
      <c r="Z84" s="93">
        <v>-37</v>
      </c>
      <c r="AC84" s="93">
        <v>2</v>
      </c>
      <c r="AD84" s="93" t="s">
        <v>175</v>
      </c>
      <c r="AE84" s="93" t="s">
        <v>149</v>
      </c>
      <c r="AF84" s="93" t="s">
        <v>169</v>
      </c>
      <c r="AG84" s="93" t="s">
        <v>188</v>
      </c>
      <c r="AH84" s="93" t="s">
        <v>139</v>
      </c>
      <c r="AI84" s="93" t="s">
        <v>147</v>
      </c>
      <c r="AJ84" s="93" t="s">
        <v>37</v>
      </c>
      <c r="AK84" s="93" t="s">
        <v>152</v>
      </c>
      <c r="AM84" s="93" t="s">
        <v>37</v>
      </c>
      <c r="AN84" s="93" t="s">
        <v>153</v>
      </c>
      <c r="AO84" s="93" t="s">
        <v>154</v>
      </c>
      <c r="AP84" s="93" t="s">
        <v>155</v>
      </c>
      <c r="AQ84" s="113">
        <f>IF($E84="SCE",VLOOKUP($BB84,'[1]ESAF_&amp;_PDAF_Summary'!$B$4:$D$18,2,0),1)</f>
        <v>1</v>
      </c>
      <c r="AR84" s="113">
        <f>IF($E84="SCE",VLOOKUP($BB84,'[1]ESAF_&amp;_PDAF_Summary'!$B$4:$D$18,3,0),1)</f>
        <v>1</v>
      </c>
      <c r="AS84" s="113">
        <f>IF($E84="SCE",VLOOKUP($BB84,'[1]ESAF_&amp;_PDAF_Summary'!$B$4:$E$18,4,0),1)</f>
        <v>1</v>
      </c>
      <c r="AT84" s="93" t="str">
        <f t="shared" si="12"/>
        <v>N/A</v>
      </c>
      <c r="AU84" s="93" t="str">
        <f t="shared" si="13"/>
        <v>N/A</v>
      </c>
      <c r="AV84" s="93">
        <v>0</v>
      </c>
      <c r="AW84" s="93" t="str">
        <f t="shared" si="14"/>
        <v>N/A</v>
      </c>
      <c r="AY84" s="93" t="str">
        <f t="shared" si="8"/>
        <v>N/A</v>
      </c>
      <c r="AZ84" s="98" t="str">
        <f>IF($E84="PGE",($AZ$4*$L84)+'[1]Water Costs'!I$16-AW84,IF($E84="SCE",$AZ$4+'[1]Water Costs'!$I$9,"N/A"))</f>
        <v>N/A</v>
      </c>
      <c r="BA84" s="98"/>
      <c r="BB84" s="93">
        <f t="shared" si="11"/>
        <v>13</v>
      </c>
    </row>
    <row r="85" spans="1:54" hidden="1" x14ac:dyDescent="0.35">
      <c r="A85" s="93" t="s">
        <v>139</v>
      </c>
      <c r="B85" s="93" t="s">
        <v>140</v>
      </c>
      <c r="C85" s="93" t="s">
        <v>141</v>
      </c>
      <c r="D85" s="111">
        <v>40944</v>
      </c>
      <c r="E85" s="93" t="s">
        <v>188</v>
      </c>
      <c r="F85" s="93" t="s">
        <v>174</v>
      </c>
      <c r="G85" s="93" t="s">
        <v>143</v>
      </c>
      <c r="H85" s="93" t="s">
        <v>144</v>
      </c>
      <c r="I85" s="93" t="s">
        <v>184</v>
      </c>
      <c r="J85" s="102" t="str">
        <f t="shared" si="15"/>
        <v>SFmCZ14</v>
      </c>
      <c r="K85" s="93" t="s">
        <v>146</v>
      </c>
      <c r="L85" s="93">
        <v>1.73</v>
      </c>
      <c r="M85" s="93">
        <v>1730</v>
      </c>
      <c r="N85" s="93" t="s">
        <v>147</v>
      </c>
      <c r="O85" s="93">
        <v>0</v>
      </c>
      <c r="P85" s="93">
        <v>0</v>
      </c>
      <c r="Q85" s="93">
        <v>0</v>
      </c>
      <c r="R85" s="93">
        <v>1060</v>
      </c>
      <c r="S85" s="93">
        <v>1.83</v>
      </c>
      <c r="T85" s="93">
        <v>-42.3</v>
      </c>
      <c r="U85" s="93">
        <v>0</v>
      </c>
      <c r="V85" s="93">
        <v>0</v>
      </c>
      <c r="W85" s="93">
        <v>0</v>
      </c>
      <c r="X85" s="93">
        <v>704</v>
      </c>
      <c r="Y85" s="93">
        <v>1.3</v>
      </c>
      <c r="Z85" s="93">
        <v>-42.6</v>
      </c>
      <c r="AC85" s="93">
        <v>2</v>
      </c>
      <c r="AD85" s="93" t="s">
        <v>175</v>
      </c>
      <c r="AE85" s="93" t="s">
        <v>149</v>
      </c>
      <c r="AF85" s="93" t="s">
        <v>185</v>
      </c>
      <c r="AG85" s="93" t="s">
        <v>188</v>
      </c>
      <c r="AH85" s="93" t="s">
        <v>139</v>
      </c>
      <c r="AI85" s="93" t="s">
        <v>147</v>
      </c>
      <c r="AJ85" s="93" t="s">
        <v>37</v>
      </c>
      <c r="AK85" s="93" t="s">
        <v>152</v>
      </c>
      <c r="AM85" s="93" t="s">
        <v>37</v>
      </c>
      <c r="AN85" s="93" t="s">
        <v>153</v>
      </c>
      <c r="AO85" s="93" t="s">
        <v>154</v>
      </c>
      <c r="AP85" s="93" t="s">
        <v>155</v>
      </c>
      <c r="AQ85" s="113">
        <f>IF($E85="SCE",VLOOKUP($BB85,'[1]ESAF_&amp;_PDAF_Summary'!$B$4:$D$18,2,0),1)</f>
        <v>1</v>
      </c>
      <c r="AR85" s="113">
        <f>IF($E85="SCE",VLOOKUP($BB85,'[1]ESAF_&amp;_PDAF_Summary'!$B$4:$D$18,3,0),1)</f>
        <v>1</v>
      </c>
      <c r="AS85" s="113">
        <f>IF($E85="SCE",VLOOKUP($BB85,'[1]ESAF_&amp;_PDAF_Summary'!$B$4:$E$18,4,0),1)</f>
        <v>1</v>
      </c>
      <c r="AT85" s="93" t="str">
        <f t="shared" si="12"/>
        <v>N/A</v>
      </c>
      <c r="AU85" s="93" t="str">
        <f t="shared" si="13"/>
        <v>N/A</v>
      </c>
      <c r="AV85" s="93">
        <v>0</v>
      </c>
      <c r="AW85" s="93" t="str">
        <f t="shared" si="14"/>
        <v>N/A</v>
      </c>
      <c r="AY85" s="93" t="str">
        <f t="shared" si="8"/>
        <v>N/A</v>
      </c>
      <c r="AZ85" s="98" t="str">
        <f>IF($E85="PGE",($AZ$4*$L85)+'[1]Water Costs'!I$16-AW85,IF($E85="SCE",$AZ$4+'[1]Water Costs'!$I$9,"N/A"))</f>
        <v>N/A</v>
      </c>
      <c r="BA85" s="98"/>
      <c r="BB85" s="93">
        <f t="shared" si="11"/>
        <v>14</v>
      </c>
    </row>
    <row r="86" spans="1:54" hidden="1" x14ac:dyDescent="0.35">
      <c r="A86" s="93" t="s">
        <v>139</v>
      </c>
      <c r="B86" s="93" t="s">
        <v>140</v>
      </c>
      <c r="C86" s="93" t="s">
        <v>141</v>
      </c>
      <c r="D86" s="111">
        <v>40944</v>
      </c>
      <c r="E86" s="93" t="s">
        <v>188</v>
      </c>
      <c r="F86" s="93" t="s">
        <v>174</v>
      </c>
      <c r="G86" s="93" t="s">
        <v>143</v>
      </c>
      <c r="H86" s="93" t="s">
        <v>144</v>
      </c>
      <c r="I86" s="93" t="s">
        <v>186</v>
      </c>
      <c r="J86" s="102" t="str">
        <f t="shared" si="15"/>
        <v>SFmCZ15</v>
      </c>
      <c r="K86" s="93" t="s">
        <v>146</v>
      </c>
      <c r="L86" s="93">
        <v>1.67</v>
      </c>
      <c r="M86" s="93">
        <v>1670</v>
      </c>
      <c r="N86" s="93" t="s">
        <v>147</v>
      </c>
      <c r="O86" s="93">
        <v>0</v>
      </c>
      <c r="P86" s="93">
        <v>0</v>
      </c>
      <c r="Q86" s="93">
        <v>0</v>
      </c>
      <c r="R86" s="93">
        <v>2730</v>
      </c>
      <c r="S86" s="93">
        <v>2.44</v>
      </c>
      <c r="T86" s="93">
        <v>-16.7</v>
      </c>
      <c r="U86" s="93">
        <v>0</v>
      </c>
      <c r="V86" s="93">
        <v>0</v>
      </c>
      <c r="W86" s="93">
        <v>0</v>
      </c>
      <c r="X86" s="93">
        <v>1550</v>
      </c>
      <c r="Y86" s="93">
        <v>1.6</v>
      </c>
      <c r="Z86" s="93">
        <v>-16.8</v>
      </c>
      <c r="AC86" s="93">
        <v>2</v>
      </c>
      <c r="AD86" s="93" t="s">
        <v>175</v>
      </c>
      <c r="AE86" s="93" t="s">
        <v>149</v>
      </c>
      <c r="AF86" s="93" t="s">
        <v>187</v>
      </c>
      <c r="AG86" s="93" t="s">
        <v>188</v>
      </c>
      <c r="AH86" s="93" t="s">
        <v>139</v>
      </c>
      <c r="AI86" s="93" t="s">
        <v>147</v>
      </c>
      <c r="AJ86" s="93" t="s">
        <v>37</v>
      </c>
      <c r="AK86" s="93" t="s">
        <v>152</v>
      </c>
      <c r="AM86" s="93" t="s">
        <v>37</v>
      </c>
      <c r="AN86" s="93" t="s">
        <v>153</v>
      </c>
      <c r="AO86" s="93" t="s">
        <v>154</v>
      </c>
      <c r="AP86" s="93" t="s">
        <v>155</v>
      </c>
      <c r="AQ86" s="113">
        <f>IF($E86="SCE",VLOOKUP($BB86,'[1]ESAF_&amp;_PDAF_Summary'!$B$4:$D$18,2,0),1)</f>
        <v>1</v>
      </c>
      <c r="AR86" s="113">
        <f>IF($E86="SCE",VLOOKUP($BB86,'[1]ESAF_&amp;_PDAF_Summary'!$B$4:$D$18,3,0),1)</f>
        <v>1</v>
      </c>
      <c r="AS86" s="113">
        <f>IF($E86="SCE",VLOOKUP($BB86,'[1]ESAF_&amp;_PDAF_Summary'!$B$4:$E$18,4,0),1)</f>
        <v>1</v>
      </c>
      <c r="AT86" s="93" t="str">
        <f t="shared" si="12"/>
        <v>N/A</v>
      </c>
      <c r="AU86" s="93" t="str">
        <f t="shared" si="13"/>
        <v>N/A</v>
      </c>
      <c r="AV86" s="93">
        <v>1</v>
      </c>
      <c r="AW86" s="93" t="str">
        <f t="shared" si="14"/>
        <v>N/A</v>
      </c>
      <c r="AY86" s="93" t="str">
        <f t="shared" si="8"/>
        <v>N/A</v>
      </c>
      <c r="AZ86" s="98" t="str">
        <f>IF($E86="PGE",($AZ$4*$L86)+'[1]Water Costs'!I$16-AW86,IF($E86="SCE",$AZ$4+'[1]Water Costs'!$I$9,"N/A"))</f>
        <v>N/A</v>
      </c>
      <c r="BA86" s="98"/>
      <c r="BB86" s="93">
        <f t="shared" si="11"/>
        <v>15</v>
      </c>
    </row>
    <row r="87" spans="1:54" hidden="1" x14ac:dyDescent="0.35">
      <c r="A87" s="93" t="s">
        <v>139</v>
      </c>
      <c r="B87" s="93" t="s">
        <v>140</v>
      </c>
      <c r="C87" s="93" t="s">
        <v>141</v>
      </c>
      <c r="D87" s="111">
        <v>40944</v>
      </c>
      <c r="E87" s="93" t="s">
        <v>188</v>
      </c>
      <c r="F87" s="93" t="s">
        <v>174</v>
      </c>
      <c r="G87" s="93" t="s">
        <v>143</v>
      </c>
      <c r="H87" s="93" t="s">
        <v>144</v>
      </c>
      <c r="I87" s="93" t="s">
        <v>170</v>
      </c>
      <c r="J87" s="102" t="str">
        <f t="shared" si="15"/>
        <v>SFmCZ16</v>
      </c>
      <c r="K87" s="93" t="s">
        <v>146</v>
      </c>
      <c r="L87" s="93">
        <v>1.7</v>
      </c>
      <c r="M87" s="93">
        <v>1700</v>
      </c>
      <c r="N87" s="93" t="s">
        <v>147</v>
      </c>
      <c r="O87" s="93">
        <v>0</v>
      </c>
      <c r="P87" s="93">
        <v>0</v>
      </c>
      <c r="Q87" s="93">
        <v>0</v>
      </c>
      <c r="R87" s="93">
        <v>294</v>
      </c>
      <c r="S87" s="93">
        <v>1.53</v>
      </c>
      <c r="T87" s="93">
        <v>-130</v>
      </c>
      <c r="U87" s="93">
        <v>0</v>
      </c>
      <c r="V87" s="93">
        <v>0</v>
      </c>
      <c r="W87" s="93">
        <v>0</v>
      </c>
      <c r="X87" s="93">
        <v>126</v>
      </c>
      <c r="Y87" s="93">
        <v>0.97299999999999998</v>
      </c>
      <c r="Z87" s="93">
        <v>-131</v>
      </c>
      <c r="AC87" s="93">
        <v>2</v>
      </c>
      <c r="AD87" s="93" t="s">
        <v>175</v>
      </c>
      <c r="AE87" s="93" t="s">
        <v>149</v>
      </c>
      <c r="AF87" s="93" t="s">
        <v>171</v>
      </c>
      <c r="AG87" s="93" t="s">
        <v>188</v>
      </c>
      <c r="AH87" s="93" t="s">
        <v>139</v>
      </c>
      <c r="AI87" s="93" t="s">
        <v>147</v>
      </c>
      <c r="AJ87" s="93" t="s">
        <v>37</v>
      </c>
      <c r="AK87" s="93" t="s">
        <v>152</v>
      </c>
      <c r="AM87" s="93" t="s">
        <v>37</v>
      </c>
      <c r="AN87" s="93" t="s">
        <v>153</v>
      </c>
      <c r="AO87" s="93" t="s">
        <v>154</v>
      </c>
      <c r="AP87" s="93" t="s">
        <v>155</v>
      </c>
      <c r="AQ87" s="113">
        <f>IF($E87="SCE",VLOOKUP($BB87,'[1]ESAF_&amp;_PDAF_Summary'!$B$4:$D$18,2,0),1)</f>
        <v>1</v>
      </c>
      <c r="AR87" s="113">
        <f>IF($E87="SCE",VLOOKUP($BB87,'[1]ESAF_&amp;_PDAF_Summary'!$B$4:$D$18,3,0),1)</f>
        <v>1</v>
      </c>
      <c r="AS87" s="113">
        <f>IF($E87="SCE",VLOOKUP($BB87,'[1]ESAF_&amp;_PDAF_Summary'!$B$4:$E$18,4,0),1)</f>
        <v>1</v>
      </c>
      <c r="AT87" s="93" t="str">
        <f t="shared" si="12"/>
        <v>N/A</v>
      </c>
      <c r="AU87" s="93" t="str">
        <f t="shared" si="13"/>
        <v>N/A</v>
      </c>
      <c r="AV87" s="93">
        <v>2</v>
      </c>
      <c r="AW87" s="93" t="str">
        <f t="shared" si="14"/>
        <v>N/A</v>
      </c>
      <c r="AY87" s="93" t="str">
        <f t="shared" si="8"/>
        <v>N/A</v>
      </c>
      <c r="AZ87" s="98" t="str">
        <f>IF($E87="PGE",($AZ$4*$L87)+'[1]Water Costs'!I$16-AW87,IF($E87="SCE",$AZ$4+'[1]Water Costs'!$I$9,"N/A"))</f>
        <v>N/A</v>
      </c>
      <c r="BA87" s="98"/>
      <c r="BB87" s="93">
        <f t="shared" si="11"/>
        <v>16</v>
      </c>
    </row>
    <row r="88" spans="1:54" hidden="1" x14ac:dyDescent="0.35">
      <c r="A88" s="93" t="s">
        <v>139</v>
      </c>
      <c r="B88" s="93" t="s">
        <v>140</v>
      </c>
      <c r="C88" s="93" t="s">
        <v>141</v>
      </c>
      <c r="D88" s="111">
        <v>40944</v>
      </c>
      <c r="E88" s="93" t="s">
        <v>191</v>
      </c>
      <c r="F88" s="93" t="s">
        <v>142</v>
      </c>
      <c r="G88" s="93" t="s">
        <v>143</v>
      </c>
      <c r="H88" s="93" t="s">
        <v>144</v>
      </c>
      <c r="I88" s="93" t="s">
        <v>189</v>
      </c>
      <c r="J88" s="102" t="str">
        <f t="shared" si="15"/>
        <v>DMoCZ07</v>
      </c>
      <c r="K88" s="93" t="s">
        <v>146</v>
      </c>
      <c r="L88" s="93">
        <v>1.24</v>
      </c>
      <c r="M88" s="93">
        <v>1240</v>
      </c>
      <c r="N88" s="93" t="s">
        <v>147</v>
      </c>
      <c r="O88" s="93">
        <v>0</v>
      </c>
      <c r="P88" s="93">
        <v>0</v>
      </c>
      <c r="Q88" s="93">
        <v>0</v>
      </c>
      <c r="R88" s="93">
        <v>242</v>
      </c>
      <c r="S88" s="93">
        <v>2.35</v>
      </c>
      <c r="T88" s="93">
        <v>-32.9</v>
      </c>
      <c r="U88" s="93">
        <v>0</v>
      </c>
      <c r="V88" s="93">
        <v>0</v>
      </c>
      <c r="W88" s="93">
        <v>0</v>
      </c>
      <c r="X88" s="93">
        <v>67.099999999999994</v>
      </c>
      <c r="Y88" s="93">
        <v>1.02</v>
      </c>
      <c r="Z88" s="93">
        <v>-33.200000000000003</v>
      </c>
      <c r="AC88" s="93">
        <v>2</v>
      </c>
      <c r="AD88" s="93" t="s">
        <v>148</v>
      </c>
      <c r="AE88" s="93" t="s">
        <v>149</v>
      </c>
      <c r="AF88" s="93" t="s">
        <v>190</v>
      </c>
      <c r="AG88" s="93" t="s">
        <v>192</v>
      </c>
      <c r="AH88" s="93" t="s">
        <v>139</v>
      </c>
      <c r="AI88" s="93" t="s">
        <v>147</v>
      </c>
      <c r="AJ88" s="93" t="s">
        <v>37</v>
      </c>
      <c r="AK88" s="93" t="s">
        <v>152</v>
      </c>
      <c r="AM88" s="93" t="s">
        <v>37</v>
      </c>
      <c r="AN88" s="93" t="s">
        <v>153</v>
      </c>
      <c r="AO88" s="93" t="s">
        <v>154</v>
      </c>
      <c r="AP88" s="93" t="s">
        <v>155</v>
      </c>
      <c r="AQ88" s="113">
        <f>IF($E88="SCE",VLOOKUP($BB88,'[1]ESAF_&amp;_PDAF_Summary'!$B$4:$D$18,2,0),1)</f>
        <v>1</v>
      </c>
      <c r="AR88" s="113">
        <f>IF($E88="SCE",VLOOKUP($BB88,'[1]ESAF_&amp;_PDAF_Summary'!$B$4:$D$18,3,0),1)</f>
        <v>1</v>
      </c>
      <c r="AS88" s="113">
        <f>IF($E88="SCE",VLOOKUP($BB88,'[1]ESAF_&amp;_PDAF_Summary'!$B$4:$E$18,4,0),1)</f>
        <v>1</v>
      </c>
      <c r="AT88" s="93" t="str">
        <f t="shared" si="12"/>
        <v>N/A</v>
      </c>
      <c r="AU88" s="93" t="str">
        <f t="shared" si="13"/>
        <v>N/A</v>
      </c>
      <c r="AV88" s="93">
        <v>3</v>
      </c>
      <c r="AW88" s="93" t="str">
        <f t="shared" si="14"/>
        <v>N/A</v>
      </c>
      <c r="AY88" s="93" t="str">
        <f t="shared" si="8"/>
        <v>N/A</v>
      </c>
      <c r="AZ88" s="98" t="str">
        <f>IF($E88="PGE",($AZ$4*$L88)+'[1]Water Costs'!I$16-AW88,IF($E88="SCE",$AZ$4+'[1]Water Costs'!$I$9,"N/A"))</f>
        <v>N/A</v>
      </c>
      <c r="BA88" s="98"/>
      <c r="BB88" s="93">
        <f t="shared" si="11"/>
        <v>7</v>
      </c>
    </row>
    <row r="89" spans="1:54" hidden="1" x14ac:dyDescent="0.35">
      <c r="A89" s="93" t="s">
        <v>139</v>
      </c>
      <c r="B89" s="93" t="s">
        <v>140</v>
      </c>
      <c r="C89" s="93" t="s">
        <v>141</v>
      </c>
      <c r="D89" s="111">
        <v>40944</v>
      </c>
      <c r="E89" s="93" t="s">
        <v>191</v>
      </c>
      <c r="F89" s="93" t="s">
        <v>142</v>
      </c>
      <c r="G89" s="93" t="s">
        <v>143</v>
      </c>
      <c r="H89" s="93" t="s">
        <v>144</v>
      </c>
      <c r="I89" s="93" t="s">
        <v>182</v>
      </c>
      <c r="J89" s="102" t="str">
        <f t="shared" si="15"/>
        <v>DMoCZ10</v>
      </c>
      <c r="K89" s="93" t="s">
        <v>146</v>
      </c>
      <c r="L89" s="93">
        <v>1.24</v>
      </c>
      <c r="M89" s="93">
        <v>1240</v>
      </c>
      <c r="N89" s="93" t="s">
        <v>147</v>
      </c>
      <c r="O89" s="93">
        <v>0</v>
      </c>
      <c r="P89" s="93">
        <v>0</v>
      </c>
      <c r="Q89" s="93">
        <v>0</v>
      </c>
      <c r="R89" s="93">
        <v>954</v>
      </c>
      <c r="S89" s="93">
        <v>2.16</v>
      </c>
      <c r="T89" s="93">
        <v>-51.4</v>
      </c>
      <c r="U89" s="93">
        <v>0</v>
      </c>
      <c r="V89" s="93">
        <v>0</v>
      </c>
      <c r="W89" s="93">
        <v>0</v>
      </c>
      <c r="X89" s="93">
        <v>395</v>
      </c>
      <c r="Y89" s="93">
        <v>1.1499999999999999</v>
      </c>
      <c r="Z89" s="93">
        <v>-51.8</v>
      </c>
      <c r="AC89" s="93">
        <v>2</v>
      </c>
      <c r="AD89" s="93" t="s">
        <v>148</v>
      </c>
      <c r="AE89" s="93" t="s">
        <v>149</v>
      </c>
      <c r="AF89" s="93" t="s">
        <v>183</v>
      </c>
      <c r="AG89" s="93" t="s">
        <v>192</v>
      </c>
      <c r="AH89" s="93" t="s">
        <v>139</v>
      </c>
      <c r="AI89" s="93" t="s">
        <v>147</v>
      </c>
      <c r="AJ89" s="93" t="s">
        <v>37</v>
      </c>
      <c r="AK89" s="93" t="s">
        <v>152</v>
      </c>
      <c r="AM89" s="93" t="s">
        <v>37</v>
      </c>
      <c r="AN89" s="93" t="s">
        <v>153</v>
      </c>
      <c r="AO89" s="93" t="s">
        <v>154</v>
      </c>
      <c r="AP89" s="93" t="s">
        <v>155</v>
      </c>
      <c r="AQ89" s="113">
        <f>IF($E89="SCE",VLOOKUP($BB89,'[1]ESAF_&amp;_PDAF_Summary'!$B$4:$D$18,2,0),1)</f>
        <v>1</v>
      </c>
      <c r="AR89" s="113">
        <f>IF($E89="SCE",VLOOKUP($BB89,'[1]ESAF_&amp;_PDAF_Summary'!$B$4:$D$18,3,0),1)</f>
        <v>1</v>
      </c>
      <c r="AS89" s="113">
        <f>IF($E89="SCE",VLOOKUP($BB89,'[1]ESAF_&amp;_PDAF_Summary'!$B$4:$E$18,4,0),1)</f>
        <v>1</v>
      </c>
      <c r="AT89" s="93" t="str">
        <f t="shared" si="12"/>
        <v>N/A</v>
      </c>
      <c r="AU89" s="93" t="str">
        <f t="shared" si="13"/>
        <v>N/A</v>
      </c>
      <c r="AV89" s="93">
        <v>4</v>
      </c>
      <c r="AW89" s="93" t="str">
        <f t="shared" si="14"/>
        <v>N/A</v>
      </c>
      <c r="AY89" s="93" t="str">
        <f t="shared" si="8"/>
        <v>N/A</v>
      </c>
      <c r="AZ89" s="98" t="str">
        <f>IF($E89="PGE",($AZ$4*$L89)+'[1]Water Costs'!I$16-AW89,IF($E89="SCE",$AZ$4+'[1]Water Costs'!$I$9,"N/A"))</f>
        <v>N/A</v>
      </c>
      <c r="BA89" s="98"/>
      <c r="BB89" s="93">
        <f t="shared" si="11"/>
        <v>10</v>
      </c>
    </row>
    <row r="90" spans="1:54" hidden="1" x14ac:dyDescent="0.35">
      <c r="A90" s="93" t="s">
        <v>139</v>
      </c>
      <c r="B90" s="93" t="s">
        <v>140</v>
      </c>
      <c r="C90" s="93" t="s">
        <v>141</v>
      </c>
      <c r="D90" s="111">
        <v>40944</v>
      </c>
      <c r="E90" s="93" t="s">
        <v>191</v>
      </c>
      <c r="F90" s="93" t="s">
        <v>142</v>
      </c>
      <c r="G90" s="93" t="s">
        <v>143</v>
      </c>
      <c r="H90" s="93" t="s">
        <v>144</v>
      </c>
      <c r="I90" s="93" t="s">
        <v>184</v>
      </c>
      <c r="J90" s="102" t="str">
        <f t="shared" si="15"/>
        <v>DMoCZ14</v>
      </c>
      <c r="K90" s="93" t="s">
        <v>146</v>
      </c>
      <c r="L90" s="93">
        <v>1.24</v>
      </c>
      <c r="M90" s="93">
        <v>1240</v>
      </c>
      <c r="N90" s="93" t="s">
        <v>147</v>
      </c>
      <c r="O90" s="93">
        <v>0</v>
      </c>
      <c r="P90" s="93">
        <v>0</v>
      </c>
      <c r="Q90" s="93">
        <v>0</v>
      </c>
      <c r="R90" s="93">
        <v>1590</v>
      </c>
      <c r="S90" s="93">
        <v>3.33</v>
      </c>
      <c r="T90" s="93">
        <v>-82.9</v>
      </c>
      <c r="U90" s="93">
        <v>0</v>
      </c>
      <c r="V90" s="93">
        <v>0</v>
      </c>
      <c r="W90" s="93">
        <v>0</v>
      </c>
      <c r="X90" s="93">
        <v>678</v>
      </c>
      <c r="Y90" s="93">
        <v>1.58</v>
      </c>
      <c r="Z90" s="93">
        <v>-83.4</v>
      </c>
      <c r="AC90" s="93">
        <v>2</v>
      </c>
      <c r="AD90" s="93" t="s">
        <v>148</v>
      </c>
      <c r="AE90" s="93" t="s">
        <v>149</v>
      </c>
      <c r="AF90" s="93" t="s">
        <v>185</v>
      </c>
      <c r="AG90" s="93" t="s">
        <v>192</v>
      </c>
      <c r="AH90" s="93" t="s">
        <v>139</v>
      </c>
      <c r="AI90" s="93" t="s">
        <v>147</v>
      </c>
      <c r="AJ90" s="93" t="s">
        <v>37</v>
      </c>
      <c r="AK90" s="93" t="s">
        <v>152</v>
      </c>
      <c r="AM90" s="93" t="s">
        <v>37</v>
      </c>
      <c r="AN90" s="93" t="s">
        <v>153</v>
      </c>
      <c r="AO90" s="93" t="s">
        <v>154</v>
      </c>
      <c r="AP90" s="93" t="s">
        <v>155</v>
      </c>
      <c r="AQ90" s="113">
        <f>IF($E90="SCE",VLOOKUP($BB90,'[1]ESAF_&amp;_PDAF_Summary'!$B$4:$D$18,2,0),1)</f>
        <v>1</v>
      </c>
      <c r="AR90" s="113">
        <f>IF($E90="SCE",VLOOKUP($BB90,'[1]ESAF_&amp;_PDAF_Summary'!$B$4:$D$18,3,0),1)</f>
        <v>1</v>
      </c>
      <c r="AS90" s="113">
        <f>IF($E90="SCE",VLOOKUP($BB90,'[1]ESAF_&amp;_PDAF_Summary'!$B$4:$E$18,4,0),1)</f>
        <v>1</v>
      </c>
      <c r="AT90" s="93" t="str">
        <f t="shared" si="12"/>
        <v>N/A</v>
      </c>
      <c r="AU90" s="93" t="str">
        <f t="shared" si="13"/>
        <v>N/A</v>
      </c>
      <c r="AV90" s="93">
        <v>5</v>
      </c>
      <c r="AW90" s="93" t="str">
        <f t="shared" si="14"/>
        <v>N/A</v>
      </c>
      <c r="AY90" s="93" t="str">
        <f t="shared" si="8"/>
        <v>N/A</v>
      </c>
      <c r="AZ90" s="98" t="str">
        <f>IF($E90="PGE",($AZ$4*$L90)+'[1]Water Costs'!I$16-AW90,IF($E90="SCE",$AZ$4+'[1]Water Costs'!$I$9,"N/A"))</f>
        <v>N/A</v>
      </c>
      <c r="BA90" s="98"/>
      <c r="BB90" s="93">
        <f t="shared" si="11"/>
        <v>14</v>
      </c>
    </row>
    <row r="91" spans="1:54" hidden="1" x14ac:dyDescent="0.35">
      <c r="A91" s="93" t="s">
        <v>139</v>
      </c>
      <c r="B91" s="93" t="s">
        <v>140</v>
      </c>
      <c r="C91" s="93" t="s">
        <v>141</v>
      </c>
      <c r="D91" s="111">
        <v>40944</v>
      </c>
      <c r="E91" s="93" t="s">
        <v>191</v>
      </c>
      <c r="F91" s="93" t="s">
        <v>172</v>
      </c>
      <c r="G91" s="93" t="s">
        <v>143</v>
      </c>
      <c r="H91" s="93" t="s">
        <v>144</v>
      </c>
      <c r="I91" s="93" t="s">
        <v>176</v>
      </c>
      <c r="J91" s="102" t="str">
        <f t="shared" si="15"/>
        <v>MFmCZ06</v>
      </c>
      <c r="K91" s="93" t="s">
        <v>146</v>
      </c>
      <c r="L91" s="93">
        <v>1.05</v>
      </c>
      <c r="M91" s="93">
        <v>1050</v>
      </c>
      <c r="N91" s="93" t="s">
        <v>147</v>
      </c>
      <c r="O91" s="93">
        <v>0</v>
      </c>
      <c r="P91" s="93">
        <v>0</v>
      </c>
      <c r="Q91" s="93">
        <v>0</v>
      </c>
      <c r="R91" s="93">
        <v>161</v>
      </c>
      <c r="S91" s="93">
        <v>0.92500000000000004</v>
      </c>
      <c r="T91" s="93">
        <v>-4.1399999999999997</v>
      </c>
      <c r="U91" s="93">
        <v>0</v>
      </c>
      <c r="V91" s="93">
        <v>0</v>
      </c>
      <c r="W91" s="93">
        <v>0</v>
      </c>
      <c r="X91" s="93">
        <v>89</v>
      </c>
      <c r="Y91" s="93">
        <v>0.54300000000000004</v>
      </c>
      <c r="Z91" s="93">
        <v>-4.3899999999999997</v>
      </c>
      <c r="AC91" s="93">
        <v>2</v>
      </c>
      <c r="AD91" s="93" t="s">
        <v>173</v>
      </c>
      <c r="AE91" s="93" t="s">
        <v>149</v>
      </c>
      <c r="AF91" s="93" t="s">
        <v>177</v>
      </c>
      <c r="AG91" s="93" t="s">
        <v>192</v>
      </c>
      <c r="AH91" s="93" t="s">
        <v>139</v>
      </c>
      <c r="AI91" s="93" t="s">
        <v>147</v>
      </c>
      <c r="AJ91" s="93" t="s">
        <v>37</v>
      </c>
      <c r="AK91" s="93" t="s">
        <v>152</v>
      </c>
      <c r="AM91" s="93" t="s">
        <v>37</v>
      </c>
      <c r="AN91" s="93" t="s">
        <v>153</v>
      </c>
      <c r="AO91" s="93" t="s">
        <v>154</v>
      </c>
      <c r="AP91" s="93" t="s">
        <v>155</v>
      </c>
      <c r="AQ91" s="113">
        <f>IF($E91="SCE",VLOOKUP($BB91,'[1]ESAF_&amp;_PDAF_Summary'!$B$4:$D$18,2,0),1)</f>
        <v>1</v>
      </c>
      <c r="AR91" s="113">
        <f>IF($E91="SCE",VLOOKUP($BB91,'[1]ESAF_&amp;_PDAF_Summary'!$B$4:$D$18,3,0),1)</f>
        <v>1</v>
      </c>
      <c r="AS91" s="113">
        <f>IF($E91="SCE",VLOOKUP($BB91,'[1]ESAF_&amp;_PDAF_Summary'!$B$4:$E$18,4,0),1)</f>
        <v>1</v>
      </c>
      <c r="AT91" s="93" t="str">
        <f t="shared" si="12"/>
        <v>N/A</v>
      </c>
      <c r="AU91" s="93" t="str">
        <f t="shared" si="13"/>
        <v>N/A</v>
      </c>
      <c r="AV91" s="93">
        <v>6</v>
      </c>
      <c r="AW91" s="93" t="str">
        <f t="shared" si="14"/>
        <v>N/A</v>
      </c>
      <c r="AY91" s="93" t="str">
        <f t="shared" si="8"/>
        <v>N/A</v>
      </c>
      <c r="AZ91" s="98" t="str">
        <f>IF($E91="PGE",($AZ$4*$L91)+'[1]Water Costs'!I$16-AW91,IF($E91="SCE",$AZ$4+'[1]Water Costs'!$I$9,"N/A"))</f>
        <v>N/A</v>
      </c>
      <c r="BA91" s="98"/>
      <c r="BB91" s="93">
        <f t="shared" si="11"/>
        <v>6</v>
      </c>
    </row>
    <row r="92" spans="1:54" hidden="1" x14ac:dyDescent="0.35">
      <c r="A92" s="93" t="s">
        <v>139</v>
      </c>
      <c r="B92" s="93" t="s">
        <v>140</v>
      </c>
      <c r="C92" s="93" t="s">
        <v>141</v>
      </c>
      <c r="D92" s="111">
        <v>40944</v>
      </c>
      <c r="E92" s="93" t="s">
        <v>191</v>
      </c>
      <c r="F92" s="93" t="s">
        <v>172</v>
      </c>
      <c r="G92" s="93" t="s">
        <v>143</v>
      </c>
      <c r="H92" s="93" t="s">
        <v>144</v>
      </c>
      <c r="I92" s="93" t="s">
        <v>189</v>
      </c>
      <c r="J92" s="102" t="str">
        <f t="shared" si="15"/>
        <v>MFmCZ07</v>
      </c>
      <c r="K92" s="93" t="s">
        <v>146</v>
      </c>
      <c r="L92" s="93">
        <v>1.03</v>
      </c>
      <c r="M92" s="93">
        <v>1030</v>
      </c>
      <c r="N92" s="93" t="s">
        <v>147</v>
      </c>
      <c r="O92" s="93">
        <v>0</v>
      </c>
      <c r="P92" s="93">
        <v>0</v>
      </c>
      <c r="Q92" s="93">
        <v>0</v>
      </c>
      <c r="R92" s="93">
        <v>225</v>
      </c>
      <c r="S92" s="93">
        <v>0.80900000000000005</v>
      </c>
      <c r="T92" s="93">
        <v>-3.55</v>
      </c>
      <c r="U92" s="93">
        <v>0</v>
      </c>
      <c r="V92" s="93">
        <v>0</v>
      </c>
      <c r="W92" s="93">
        <v>0</v>
      </c>
      <c r="X92" s="93">
        <v>119</v>
      </c>
      <c r="Y92" s="93">
        <v>0.47899999999999998</v>
      </c>
      <c r="Z92" s="93">
        <v>-3.8</v>
      </c>
      <c r="AC92" s="93">
        <v>2</v>
      </c>
      <c r="AD92" s="93" t="s">
        <v>173</v>
      </c>
      <c r="AE92" s="93" t="s">
        <v>149</v>
      </c>
      <c r="AF92" s="93" t="s">
        <v>190</v>
      </c>
      <c r="AG92" s="93" t="s">
        <v>192</v>
      </c>
      <c r="AH92" s="93" t="s">
        <v>139</v>
      </c>
      <c r="AI92" s="93" t="s">
        <v>147</v>
      </c>
      <c r="AJ92" s="93" t="s">
        <v>37</v>
      </c>
      <c r="AK92" s="93" t="s">
        <v>152</v>
      </c>
      <c r="AM92" s="93" t="s">
        <v>37</v>
      </c>
      <c r="AN92" s="93" t="s">
        <v>153</v>
      </c>
      <c r="AO92" s="93" t="s">
        <v>154</v>
      </c>
      <c r="AP92" s="93" t="s">
        <v>155</v>
      </c>
      <c r="AQ92" s="113">
        <f>IF($E92="SCE",VLOOKUP($BB92,'[1]ESAF_&amp;_PDAF_Summary'!$B$4:$D$18,2,0),1)</f>
        <v>1</v>
      </c>
      <c r="AR92" s="113">
        <f>IF($E92="SCE",VLOOKUP($BB92,'[1]ESAF_&amp;_PDAF_Summary'!$B$4:$D$18,3,0),1)</f>
        <v>1</v>
      </c>
      <c r="AS92" s="113">
        <f>IF($E92="SCE",VLOOKUP($BB92,'[1]ESAF_&amp;_PDAF_Summary'!$B$4:$E$18,4,0),1)</f>
        <v>1</v>
      </c>
      <c r="AT92" s="93" t="str">
        <f t="shared" si="12"/>
        <v>N/A</v>
      </c>
      <c r="AU92" s="93" t="str">
        <f t="shared" si="13"/>
        <v>N/A</v>
      </c>
      <c r="AV92" s="93">
        <v>7</v>
      </c>
      <c r="AW92" s="93" t="str">
        <f t="shared" si="14"/>
        <v>N/A</v>
      </c>
      <c r="AY92" s="93" t="str">
        <f t="shared" si="8"/>
        <v>N/A</v>
      </c>
      <c r="AZ92" s="98" t="str">
        <f>IF($E92="PGE",($AZ$4*$L92)+'[1]Water Costs'!I$16-AW92,IF($E92="SCE",$AZ$4+'[1]Water Costs'!$I$9,"N/A"))</f>
        <v>N/A</v>
      </c>
      <c r="BA92" s="98"/>
      <c r="BB92" s="93">
        <f t="shared" si="11"/>
        <v>7</v>
      </c>
    </row>
    <row r="93" spans="1:54" hidden="1" x14ac:dyDescent="0.35">
      <c r="A93" s="93" t="s">
        <v>139</v>
      </c>
      <c r="B93" s="93" t="s">
        <v>140</v>
      </c>
      <c r="C93" s="93" t="s">
        <v>141</v>
      </c>
      <c r="D93" s="111">
        <v>40944</v>
      </c>
      <c r="E93" s="93" t="s">
        <v>191</v>
      </c>
      <c r="F93" s="93" t="s">
        <v>172</v>
      </c>
      <c r="G93" s="93" t="s">
        <v>143</v>
      </c>
      <c r="H93" s="93" t="s">
        <v>144</v>
      </c>
      <c r="I93" s="93" t="s">
        <v>178</v>
      </c>
      <c r="J93" s="102" t="str">
        <f t="shared" si="15"/>
        <v>MFmCZ08</v>
      </c>
      <c r="K93" s="93" t="s">
        <v>146</v>
      </c>
      <c r="L93" s="93">
        <v>1.08</v>
      </c>
      <c r="M93" s="93">
        <v>1080</v>
      </c>
      <c r="N93" s="93" t="s">
        <v>147</v>
      </c>
      <c r="O93" s="93">
        <v>0</v>
      </c>
      <c r="P93" s="93">
        <v>0</v>
      </c>
      <c r="Q93" s="93">
        <v>0</v>
      </c>
      <c r="R93" s="93">
        <v>268</v>
      </c>
      <c r="S93" s="93">
        <v>0.77500000000000002</v>
      </c>
      <c r="T93" s="93">
        <v>-1.67</v>
      </c>
      <c r="U93" s="93">
        <v>0</v>
      </c>
      <c r="V93" s="93">
        <v>0</v>
      </c>
      <c r="W93" s="93">
        <v>0</v>
      </c>
      <c r="X93" s="93">
        <v>165</v>
      </c>
      <c r="Y93" s="93">
        <v>0.56999999999999995</v>
      </c>
      <c r="Z93" s="93">
        <v>-1.78</v>
      </c>
      <c r="AC93" s="93">
        <v>2</v>
      </c>
      <c r="AD93" s="93" t="s">
        <v>173</v>
      </c>
      <c r="AE93" s="93" t="s">
        <v>149</v>
      </c>
      <c r="AF93" s="93" t="s">
        <v>179</v>
      </c>
      <c r="AG93" s="93" t="s">
        <v>192</v>
      </c>
      <c r="AH93" s="93" t="s">
        <v>139</v>
      </c>
      <c r="AI93" s="93" t="s">
        <v>147</v>
      </c>
      <c r="AJ93" s="93" t="s">
        <v>37</v>
      </c>
      <c r="AK93" s="93" t="s">
        <v>152</v>
      </c>
      <c r="AM93" s="93" t="s">
        <v>37</v>
      </c>
      <c r="AN93" s="93" t="s">
        <v>153</v>
      </c>
      <c r="AO93" s="93" t="s">
        <v>154</v>
      </c>
      <c r="AP93" s="93" t="s">
        <v>155</v>
      </c>
      <c r="AQ93" s="113">
        <f>IF($E93="SCE",VLOOKUP($BB93,'[1]ESAF_&amp;_PDAF_Summary'!$B$4:$D$18,2,0),1)</f>
        <v>1</v>
      </c>
      <c r="AR93" s="113">
        <f>IF($E93="SCE",VLOOKUP($BB93,'[1]ESAF_&amp;_PDAF_Summary'!$B$4:$D$18,3,0),1)</f>
        <v>1</v>
      </c>
      <c r="AS93" s="113">
        <f>IF($E93="SCE",VLOOKUP($BB93,'[1]ESAF_&amp;_PDAF_Summary'!$B$4:$E$18,4,0),1)</f>
        <v>1</v>
      </c>
      <c r="AT93" s="93" t="str">
        <f t="shared" si="12"/>
        <v>N/A</v>
      </c>
      <c r="AU93" s="93" t="str">
        <f t="shared" si="13"/>
        <v>N/A</v>
      </c>
      <c r="AV93" s="93">
        <v>8</v>
      </c>
      <c r="AW93" s="93" t="str">
        <f t="shared" si="14"/>
        <v>N/A</v>
      </c>
      <c r="AY93" s="93" t="str">
        <f t="shared" si="8"/>
        <v>N/A</v>
      </c>
      <c r="AZ93" s="98" t="str">
        <f>IF($E93="PGE",($AZ$4*$L93)+'[1]Water Costs'!I$16-AW93,IF($E93="SCE",$AZ$4+'[1]Water Costs'!$I$9,"N/A"))</f>
        <v>N/A</v>
      </c>
      <c r="BA93" s="98"/>
      <c r="BB93" s="93">
        <f t="shared" si="11"/>
        <v>8</v>
      </c>
    </row>
    <row r="94" spans="1:54" hidden="1" x14ac:dyDescent="0.35">
      <c r="A94" s="93" t="s">
        <v>139</v>
      </c>
      <c r="B94" s="93" t="s">
        <v>140</v>
      </c>
      <c r="C94" s="93" t="s">
        <v>141</v>
      </c>
      <c r="D94" s="111">
        <v>40944</v>
      </c>
      <c r="E94" s="93" t="s">
        <v>191</v>
      </c>
      <c r="F94" s="93" t="s">
        <v>172</v>
      </c>
      <c r="G94" s="93" t="s">
        <v>143</v>
      </c>
      <c r="H94" s="93" t="s">
        <v>144</v>
      </c>
      <c r="I94" s="93" t="s">
        <v>182</v>
      </c>
      <c r="J94" s="102" t="str">
        <f t="shared" si="15"/>
        <v>MFmCZ10</v>
      </c>
      <c r="K94" s="93" t="s">
        <v>146</v>
      </c>
      <c r="L94" s="93">
        <v>1.17</v>
      </c>
      <c r="M94" s="93">
        <v>1170</v>
      </c>
      <c r="N94" s="93" t="s">
        <v>147</v>
      </c>
      <c r="O94" s="93">
        <v>0</v>
      </c>
      <c r="P94" s="93">
        <v>0</v>
      </c>
      <c r="Q94" s="93">
        <v>0</v>
      </c>
      <c r="R94" s="93">
        <v>749</v>
      </c>
      <c r="S94" s="93">
        <v>1.1200000000000001</v>
      </c>
      <c r="T94" s="93">
        <v>-6.64</v>
      </c>
      <c r="U94" s="93">
        <v>0</v>
      </c>
      <c r="V94" s="93">
        <v>0</v>
      </c>
      <c r="W94" s="93">
        <v>0</v>
      </c>
      <c r="X94" s="93">
        <v>416</v>
      </c>
      <c r="Y94" s="93">
        <v>0.71599999999999997</v>
      </c>
      <c r="Z94" s="93">
        <v>-6.92</v>
      </c>
      <c r="AC94" s="93">
        <v>2</v>
      </c>
      <c r="AD94" s="93" t="s">
        <v>173</v>
      </c>
      <c r="AE94" s="93" t="s">
        <v>149</v>
      </c>
      <c r="AF94" s="93" t="s">
        <v>183</v>
      </c>
      <c r="AG94" s="93" t="s">
        <v>192</v>
      </c>
      <c r="AH94" s="93" t="s">
        <v>139</v>
      </c>
      <c r="AI94" s="93" t="s">
        <v>147</v>
      </c>
      <c r="AJ94" s="93" t="s">
        <v>37</v>
      </c>
      <c r="AK94" s="93" t="s">
        <v>152</v>
      </c>
      <c r="AM94" s="93" t="s">
        <v>37</v>
      </c>
      <c r="AN94" s="93" t="s">
        <v>153</v>
      </c>
      <c r="AO94" s="93" t="s">
        <v>154</v>
      </c>
      <c r="AP94" s="93" t="s">
        <v>155</v>
      </c>
      <c r="AQ94" s="113">
        <f>IF($E94="SCE",VLOOKUP($BB94,'[1]ESAF_&amp;_PDAF_Summary'!$B$4:$D$18,2,0),1)</f>
        <v>1</v>
      </c>
      <c r="AR94" s="113">
        <f>IF($E94="SCE",VLOOKUP($BB94,'[1]ESAF_&amp;_PDAF_Summary'!$B$4:$D$18,3,0),1)</f>
        <v>1</v>
      </c>
      <c r="AS94" s="113">
        <f>IF($E94="SCE",VLOOKUP($BB94,'[1]ESAF_&amp;_PDAF_Summary'!$B$4:$E$18,4,0),1)</f>
        <v>1</v>
      </c>
      <c r="AT94" s="93" t="str">
        <f t="shared" si="12"/>
        <v>N/A</v>
      </c>
      <c r="AU94" s="93" t="str">
        <f t="shared" si="13"/>
        <v>N/A</v>
      </c>
      <c r="AV94" s="93">
        <v>9</v>
      </c>
      <c r="AW94" s="93" t="str">
        <f t="shared" si="14"/>
        <v>N/A</v>
      </c>
      <c r="AY94" s="93" t="str">
        <f t="shared" si="8"/>
        <v>N/A</v>
      </c>
      <c r="AZ94" s="98" t="str">
        <f>IF($E94="PGE",($AZ$4*$L94)+'[1]Water Costs'!I$16-AW94,IF($E94="SCE",$AZ$4+'[1]Water Costs'!$I$9,"N/A"))</f>
        <v>N/A</v>
      </c>
      <c r="BA94" s="98"/>
      <c r="BB94" s="93">
        <f t="shared" si="11"/>
        <v>10</v>
      </c>
    </row>
    <row r="95" spans="1:54" hidden="1" x14ac:dyDescent="0.35">
      <c r="A95" s="93" t="s">
        <v>139</v>
      </c>
      <c r="B95" s="93" t="s">
        <v>140</v>
      </c>
      <c r="C95" s="93" t="s">
        <v>141</v>
      </c>
      <c r="D95" s="111">
        <v>40944</v>
      </c>
      <c r="E95" s="93" t="s">
        <v>191</v>
      </c>
      <c r="F95" s="93" t="s">
        <v>174</v>
      </c>
      <c r="G95" s="93" t="s">
        <v>143</v>
      </c>
      <c r="H95" s="93" t="s">
        <v>144</v>
      </c>
      <c r="I95" s="93" t="s">
        <v>176</v>
      </c>
      <c r="J95" s="102" t="str">
        <f t="shared" si="15"/>
        <v>SFmCZ06</v>
      </c>
      <c r="K95" s="93" t="s">
        <v>146</v>
      </c>
      <c r="L95" s="93">
        <v>2.15</v>
      </c>
      <c r="M95" s="93">
        <v>2150</v>
      </c>
      <c r="N95" s="93" t="s">
        <v>147</v>
      </c>
      <c r="O95" s="93">
        <v>0</v>
      </c>
      <c r="P95" s="93">
        <v>0</v>
      </c>
      <c r="Q95" s="93">
        <v>0</v>
      </c>
      <c r="R95" s="93">
        <v>224</v>
      </c>
      <c r="S95" s="93">
        <v>0.97699999999999998</v>
      </c>
      <c r="T95" s="93">
        <v>-14.1</v>
      </c>
      <c r="U95" s="93">
        <v>0</v>
      </c>
      <c r="V95" s="93">
        <v>0</v>
      </c>
      <c r="W95" s="93">
        <v>0</v>
      </c>
      <c r="X95" s="93">
        <v>143</v>
      </c>
      <c r="Y95" s="93">
        <v>0.65200000000000002</v>
      </c>
      <c r="Z95" s="93">
        <v>-14.2</v>
      </c>
      <c r="AC95" s="93">
        <v>2</v>
      </c>
      <c r="AD95" s="93" t="s">
        <v>175</v>
      </c>
      <c r="AE95" s="93" t="s">
        <v>149</v>
      </c>
      <c r="AF95" s="93" t="s">
        <v>177</v>
      </c>
      <c r="AG95" s="93" t="s">
        <v>192</v>
      </c>
      <c r="AH95" s="93" t="s">
        <v>139</v>
      </c>
      <c r="AI95" s="93" t="s">
        <v>147</v>
      </c>
      <c r="AJ95" s="93" t="s">
        <v>37</v>
      </c>
      <c r="AK95" s="93" t="s">
        <v>152</v>
      </c>
      <c r="AM95" s="93" t="s">
        <v>37</v>
      </c>
      <c r="AN95" s="93" t="s">
        <v>153</v>
      </c>
      <c r="AO95" s="93" t="s">
        <v>154</v>
      </c>
      <c r="AP95" s="93" t="s">
        <v>155</v>
      </c>
      <c r="AQ95" s="113">
        <f>IF($E95="SCE",VLOOKUP($BB95,'[1]ESAF_&amp;_PDAF_Summary'!$B$4:$D$18,2,0),1)</f>
        <v>1</v>
      </c>
      <c r="AR95" s="113">
        <f>IF($E95="SCE",VLOOKUP($BB95,'[1]ESAF_&amp;_PDAF_Summary'!$B$4:$D$18,3,0),1)</f>
        <v>1</v>
      </c>
      <c r="AS95" s="113">
        <f>IF($E95="SCE",VLOOKUP($BB95,'[1]ESAF_&amp;_PDAF_Summary'!$B$4:$E$18,4,0),1)</f>
        <v>1</v>
      </c>
      <c r="AT95" s="93" t="str">
        <f t="shared" si="12"/>
        <v>N/A</v>
      </c>
      <c r="AU95" s="93" t="str">
        <f t="shared" si="13"/>
        <v>N/A</v>
      </c>
      <c r="AV95" s="93">
        <v>10</v>
      </c>
      <c r="AW95" s="93" t="str">
        <f t="shared" si="14"/>
        <v>N/A</v>
      </c>
      <c r="AY95" s="93" t="str">
        <f t="shared" si="8"/>
        <v>N/A</v>
      </c>
      <c r="AZ95" s="98" t="str">
        <f>IF($E95="PGE",($AZ$4*$L95)+'[1]Water Costs'!I$16-AW95,IF($E95="SCE",$AZ$4+'[1]Water Costs'!$I$9,"N/A"))</f>
        <v>N/A</v>
      </c>
      <c r="BA95" s="98"/>
      <c r="BB95" s="93">
        <f t="shared" si="11"/>
        <v>6</v>
      </c>
    </row>
    <row r="96" spans="1:54" hidden="1" x14ac:dyDescent="0.35">
      <c r="A96" s="93" t="s">
        <v>139</v>
      </c>
      <c r="B96" s="93" t="s">
        <v>140</v>
      </c>
      <c r="C96" s="93" t="s">
        <v>141</v>
      </c>
      <c r="D96" s="111">
        <v>40944</v>
      </c>
      <c r="E96" s="93" t="s">
        <v>191</v>
      </c>
      <c r="F96" s="93" t="s">
        <v>174</v>
      </c>
      <c r="G96" s="93" t="s">
        <v>143</v>
      </c>
      <c r="H96" s="93" t="s">
        <v>144</v>
      </c>
      <c r="I96" s="93" t="s">
        <v>189</v>
      </c>
      <c r="J96" s="102" t="str">
        <f t="shared" si="15"/>
        <v>SFmCZ07</v>
      </c>
      <c r="K96" s="93" t="s">
        <v>146</v>
      </c>
      <c r="L96" s="93">
        <v>1.84</v>
      </c>
      <c r="M96" s="93">
        <v>1840</v>
      </c>
      <c r="N96" s="93" t="s">
        <v>147</v>
      </c>
      <c r="O96" s="93">
        <v>0</v>
      </c>
      <c r="P96" s="93">
        <v>0</v>
      </c>
      <c r="Q96" s="93">
        <v>0</v>
      </c>
      <c r="R96" s="93">
        <v>379</v>
      </c>
      <c r="S96" s="93">
        <v>0.90200000000000002</v>
      </c>
      <c r="T96" s="93">
        <v>-17.8</v>
      </c>
      <c r="U96" s="93">
        <v>0</v>
      </c>
      <c r="V96" s="93">
        <v>0</v>
      </c>
      <c r="W96" s="93">
        <v>0</v>
      </c>
      <c r="X96" s="93">
        <v>208</v>
      </c>
      <c r="Y96" s="93">
        <v>0.53800000000000003</v>
      </c>
      <c r="Z96" s="93">
        <v>-18.100000000000001</v>
      </c>
      <c r="AC96" s="93">
        <v>2</v>
      </c>
      <c r="AD96" s="93" t="s">
        <v>175</v>
      </c>
      <c r="AE96" s="93" t="s">
        <v>149</v>
      </c>
      <c r="AF96" s="93" t="s">
        <v>190</v>
      </c>
      <c r="AG96" s="93" t="s">
        <v>192</v>
      </c>
      <c r="AH96" s="93" t="s">
        <v>139</v>
      </c>
      <c r="AI96" s="93" t="s">
        <v>147</v>
      </c>
      <c r="AJ96" s="93" t="s">
        <v>37</v>
      </c>
      <c r="AK96" s="93" t="s">
        <v>152</v>
      </c>
      <c r="AM96" s="93" t="s">
        <v>37</v>
      </c>
      <c r="AN96" s="93" t="s">
        <v>153</v>
      </c>
      <c r="AO96" s="93" t="s">
        <v>154</v>
      </c>
      <c r="AP96" s="93" t="s">
        <v>155</v>
      </c>
      <c r="AQ96" s="113">
        <f>IF($E96="SCE",VLOOKUP($BB96,'[1]ESAF_&amp;_PDAF_Summary'!$B$4:$D$18,2,0),1)</f>
        <v>1</v>
      </c>
      <c r="AR96" s="113">
        <f>IF($E96="SCE",VLOOKUP($BB96,'[1]ESAF_&amp;_PDAF_Summary'!$B$4:$D$18,3,0),1)</f>
        <v>1</v>
      </c>
      <c r="AS96" s="113">
        <f>IF($E96="SCE",VLOOKUP($BB96,'[1]ESAF_&amp;_PDAF_Summary'!$B$4:$E$18,4,0),1)</f>
        <v>1</v>
      </c>
      <c r="AT96" s="93" t="str">
        <f t="shared" si="12"/>
        <v>N/A</v>
      </c>
      <c r="AU96" s="93" t="str">
        <f t="shared" si="13"/>
        <v>N/A</v>
      </c>
      <c r="AV96" s="93">
        <v>11</v>
      </c>
      <c r="AW96" s="93" t="str">
        <f t="shared" si="14"/>
        <v>N/A</v>
      </c>
      <c r="AY96" s="93" t="str">
        <f t="shared" si="8"/>
        <v>N/A</v>
      </c>
      <c r="AZ96" s="98" t="str">
        <f>IF($E96="PGE",($AZ$4*$L96)+'[1]Water Costs'!I$16-AW96,IF($E96="SCE",$AZ$4+'[1]Water Costs'!$I$9,"N/A"))</f>
        <v>N/A</v>
      </c>
      <c r="BA96" s="98"/>
      <c r="BB96" s="93">
        <f t="shared" si="11"/>
        <v>7</v>
      </c>
    </row>
    <row r="97" spans="1:54" hidden="1" x14ac:dyDescent="0.35">
      <c r="A97" s="93" t="s">
        <v>139</v>
      </c>
      <c r="B97" s="93" t="s">
        <v>140</v>
      </c>
      <c r="C97" s="93" t="s">
        <v>141</v>
      </c>
      <c r="D97" s="111">
        <v>40944</v>
      </c>
      <c r="E97" s="93" t="s">
        <v>191</v>
      </c>
      <c r="F97" s="93" t="s">
        <v>174</v>
      </c>
      <c r="G97" s="93" t="s">
        <v>143</v>
      </c>
      <c r="H97" s="93" t="s">
        <v>144</v>
      </c>
      <c r="I97" s="93" t="s">
        <v>178</v>
      </c>
      <c r="J97" s="102" t="str">
        <f t="shared" si="15"/>
        <v>SFmCZ08</v>
      </c>
      <c r="K97" s="93" t="s">
        <v>146</v>
      </c>
      <c r="L97" s="93">
        <v>2.0499999999999998</v>
      </c>
      <c r="M97" s="93">
        <v>2050</v>
      </c>
      <c r="N97" s="93" t="s">
        <v>147</v>
      </c>
      <c r="O97" s="93">
        <v>0</v>
      </c>
      <c r="P97" s="93">
        <v>0</v>
      </c>
      <c r="Q97" s="93">
        <v>0</v>
      </c>
      <c r="R97" s="93">
        <v>577</v>
      </c>
      <c r="S97" s="93">
        <v>1.17</v>
      </c>
      <c r="T97" s="93">
        <v>-16.2</v>
      </c>
      <c r="U97" s="93">
        <v>0</v>
      </c>
      <c r="V97" s="93">
        <v>0</v>
      </c>
      <c r="W97" s="93">
        <v>0</v>
      </c>
      <c r="X97" s="93">
        <v>342</v>
      </c>
      <c r="Y97" s="93">
        <v>0.84499999999999997</v>
      </c>
      <c r="Z97" s="93">
        <v>-16.3</v>
      </c>
      <c r="AC97" s="93">
        <v>2</v>
      </c>
      <c r="AD97" s="93" t="s">
        <v>175</v>
      </c>
      <c r="AE97" s="93" t="s">
        <v>149</v>
      </c>
      <c r="AF97" s="93" t="s">
        <v>179</v>
      </c>
      <c r="AG97" s="93" t="s">
        <v>192</v>
      </c>
      <c r="AH97" s="93" t="s">
        <v>139</v>
      </c>
      <c r="AI97" s="93" t="s">
        <v>147</v>
      </c>
      <c r="AJ97" s="93" t="s">
        <v>37</v>
      </c>
      <c r="AK97" s="93" t="s">
        <v>152</v>
      </c>
      <c r="AM97" s="93" t="s">
        <v>37</v>
      </c>
      <c r="AN97" s="93" t="s">
        <v>153</v>
      </c>
      <c r="AO97" s="93" t="s">
        <v>154</v>
      </c>
      <c r="AP97" s="93" t="s">
        <v>155</v>
      </c>
      <c r="AQ97" s="113">
        <f>IF($E97="SCE",VLOOKUP($BB97,'[1]ESAF_&amp;_PDAF_Summary'!$B$4:$D$18,2,0),1)</f>
        <v>1</v>
      </c>
      <c r="AR97" s="113">
        <f>IF($E97="SCE",VLOOKUP($BB97,'[1]ESAF_&amp;_PDAF_Summary'!$B$4:$D$18,3,0),1)</f>
        <v>1</v>
      </c>
      <c r="AS97" s="113">
        <f>IF($E97="SCE",VLOOKUP($BB97,'[1]ESAF_&amp;_PDAF_Summary'!$B$4:$E$18,4,0),1)</f>
        <v>1</v>
      </c>
      <c r="AT97" s="93" t="str">
        <f t="shared" si="12"/>
        <v>N/A</v>
      </c>
      <c r="AU97" s="93" t="str">
        <f t="shared" si="13"/>
        <v>N/A</v>
      </c>
      <c r="AV97" s="93">
        <v>12</v>
      </c>
      <c r="AW97" s="93" t="str">
        <f t="shared" si="14"/>
        <v>N/A</v>
      </c>
      <c r="AY97" s="93" t="str">
        <f t="shared" ref="AY97:AY105" si="16">IF($E97="PGE",AZ97,IF($E97="SCE",AZ97,"N/A"))</f>
        <v>N/A</v>
      </c>
      <c r="AZ97" s="98" t="str">
        <f>IF($E97="PGE",($AZ$4*$L97)+'[1]Water Costs'!I$16-AW97,IF($E97="SCE",$AZ$4+'[1]Water Costs'!$I$9,"N/A"))</f>
        <v>N/A</v>
      </c>
      <c r="BA97" s="98"/>
      <c r="BB97" s="93">
        <f t="shared" si="11"/>
        <v>8</v>
      </c>
    </row>
    <row r="98" spans="1:54" hidden="1" x14ac:dyDescent="0.35">
      <c r="A98" s="93" t="s">
        <v>139</v>
      </c>
      <c r="B98" s="93" t="s">
        <v>140</v>
      </c>
      <c r="C98" s="93" t="s">
        <v>141</v>
      </c>
      <c r="D98" s="111">
        <v>40944</v>
      </c>
      <c r="E98" s="93" t="s">
        <v>191</v>
      </c>
      <c r="F98" s="93" t="s">
        <v>174</v>
      </c>
      <c r="G98" s="93" t="s">
        <v>143</v>
      </c>
      <c r="H98" s="93" t="s">
        <v>144</v>
      </c>
      <c r="I98" s="93" t="s">
        <v>182</v>
      </c>
      <c r="J98" s="102" t="str">
        <f t="shared" si="15"/>
        <v>SFmCZ10</v>
      </c>
      <c r="K98" s="93" t="s">
        <v>146</v>
      </c>
      <c r="L98" s="93">
        <v>1.8</v>
      </c>
      <c r="M98" s="93">
        <v>1800</v>
      </c>
      <c r="N98" s="93" t="s">
        <v>147</v>
      </c>
      <c r="O98" s="93">
        <v>0</v>
      </c>
      <c r="P98" s="93">
        <v>0</v>
      </c>
      <c r="Q98" s="93">
        <v>0</v>
      </c>
      <c r="R98" s="93">
        <v>984</v>
      </c>
      <c r="S98" s="93">
        <v>1.4</v>
      </c>
      <c r="T98" s="93">
        <v>-32.200000000000003</v>
      </c>
      <c r="U98" s="93">
        <v>0</v>
      </c>
      <c r="V98" s="93">
        <v>0</v>
      </c>
      <c r="W98" s="93">
        <v>0</v>
      </c>
      <c r="X98" s="93">
        <v>553</v>
      </c>
      <c r="Y98" s="93">
        <v>0.88600000000000001</v>
      </c>
      <c r="Z98" s="93">
        <v>-32.5</v>
      </c>
      <c r="AC98" s="93">
        <v>2</v>
      </c>
      <c r="AD98" s="93" t="s">
        <v>175</v>
      </c>
      <c r="AE98" s="93" t="s">
        <v>149</v>
      </c>
      <c r="AF98" s="93" t="s">
        <v>183</v>
      </c>
      <c r="AG98" s="93" t="s">
        <v>192</v>
      </c>
      <c r="AH98" s="93" t="s">
        <v>139</v>
      </c>
      <c r="AI98" s="93" t="s">
        <v>147</v>
      </c>
      <c r="AJ98" s="93" t="s">
        <v>37</v>
      </c>
      <c r="AK98" s="93" t="s">
        <v>152</v>
      </c>
      <c r="AM98" s="93" t="s">
        <v>37</v>
      </c>
      <c r="AN98" s="93" t="s">
        <v>153</v>
      </c>
      <c r="AO98" s="93" t="s">
        <v>154</v>
      </c>
      <c r="AP98" s="93" t="s">
        <v>155</v>
      </c>
      <c r="AQ98" s="113">
        <f>IF($E98="SCE",VLOOKUP($BB98,'[1]ESAF_&amp;_PDAF_Summary'!$B$4:$D$18,2,0),1)</f>
        <v>1</v>
      </c>
      <c r="AR98" s="113">
        <f>IF($E98="SCE",VLOOKUP($BB98,'[1]ESAF_&amp;_PDAF_Summary'!$B$4:$D$18,3,0),1)</f>
        <v>1</v>
      </c>
      <c r="AS98" s="113">
        <f>IF($E98="SCE",VLOOKUP($BB98,'[1]ESAF_&amp;_PDAF_Summary'!$B$4:$E$18,4,0),1)</f>
        <v>1</v>
      </c>
      <c r="AT98" s="93" t="str">
        <f t="shared" si="12"/>
        <v>N/A</v>
      </c>
      <c r="AU98" s="93" t="str">
        <f t="shared" si="13"/>
        <v>N/A</v>
      </c>
      <c r="AV98" s="93">
        <v>13</v>
      </c>
      <c r="AW98" s="93" t="str">
        <f t="shared" si="14"/>
        <v>N/A</v>
      </c>
      <c r="AY98" s="93" t="str">
        <f t="shared" si="16"/>
        <v>N/A</v>
      </c>
      <c r="AZ98" s="98" t="str">
        <f>IF($E98="PGE",($AZ$4*$L98)+'[1]Water Costs'!I$16-AW98,IF($E98="SCE",$AZ$4+'[1]Water Costs'!$I$9,"N/A"))</f>
        <v>N/A</v>
      </c>
      <c r="BA98" s="98"/>
      <c r="BB98" s="93">
        <f t="shared" si="11"/>
        <v>10</v>
      </c>
    </row>
    <row r="99" spans="1:54" hidden="1" x14ac:dyDescent="0.35">
      <c r="A99" s="93" t="s">
        <v>139</v>
      </c>
      <c r="B99" s="93" t="s">
        <v>140</v>
      </c>
      <c r="C99" s="93" t="s">
        <v>141</v>
      </c>
      <c r="D99" s="111">
        <v>40944</v>
      </c>
      <c r="E99" s="93" t="s">
        <v>191</v>
      </c>
      <c r="F99" s="93" t="s">
        <v>174</v>
      </c>
      <c r="G99" s="93" t="s">
        <v>143</v>
      </c>
      <c r="H99" s="93" t="s">
        <v>144</v>
      </c>
      <c r="I99" s="93" t="s">
        <v>184</v>
      </c>
      <c r="J99" s="102" t="str">
        <f t="shared" si="15"/>
        <v>SFmCZ14</v>
      </c>
      <c r="K99" s="93" t="s">
        <v>146</v>
      </c>
      <c r="L99" s="93">
        <v>1.66</v>
      </c>
      <c r="M99" s="93">
        <v>1660</v>
      </c>
      <c r="N99" s="93" t="s">
        <v>147</v>
      </c>
      <c r="O99" s="93">
        <v>0</v>
      </c>
      <c r="P99" s="93">
        <v>0</v>
      </c>
      <c r="Q99" s="93">
        <v>0</v>
      </c>
      <c r="R99" s="93">
        <v>1460</v>
      </c>
      <c r="S99" s="93">
        <v>2.48</v>
      </c>
      <c r="T99" s="93">
        <v>-61.6</v>
      </c>
      <c r="U99" s="93">
        <v>0</v>
      </c>
      <c r="V99" s="93">
        <v>0</v>
      </c>
      <c r="W99" s="93">
        <v>0</v>
      </c>
      <c r="X99" s="93">
        <v>903</v>
      </c>
      <c r="Y99" s="93">
        <v>1.65</v>
      </c>
      <c r="Z99" s="93">
        <v>-62</v>
      </c>
      <c r="AC99" s="93">
        <v>2</v>
      </c>
      <c r="AD99" s="93" t="s">
        <v>175</v>
      </c>
      <c r="AE99" s="93" t="s">
        <v>149</v>
      </c>
      <c r="AF99" s="93" t="s">
        <v>185</v>
      </c>
      <c r="AG99" s="93" t="s">
        <v>192</v>
      </c>
      <c r="AH99" s="93" t="s">
        <v>139</v>
      </c>
      <c r="AI99" s="93" t="s">
        <v>147</v>
      </c>
      <c r="AJ99" s="93" t="s">
        <v>37</v>
      </c>
      <c r="AK99" s="93" t="s">
        <v>152</v>
      </c>
      <c r="AM99" s="93" t="s">
        <v>37</v>
      </c>
      <c r="AN99" s="93" t="s">
        <v>153</v>
      </c>
      <c r="AO99" s="93" t="s">
        <v>154</v>
      </c>
      <c r="AP99" s="93" t="s">
        <v>155</v>
      </c>
      <c r="AQ99" s="113">
        <f>IF($E99="SCE",VLOOKUP($BB99,'[1]ESAF_&amp;_PDAF_Summary'!$B$4:$D$18,2,0),1)</f>
        <v>1</v>
      </c>
      <c r="AR99" s="113">
        <f>IF($E99="SCE",VLOOKUP($BB99,'[1]ESAF_&amp;_PDAF_Summary'!$B$4:$D$18,3,0),1)</f>
        <v>1</v>
      </c>
      <c r="AS99" s="113">
        <f>IF($E99="SCE",VLOOKUP($BB99,'[1]ESAF_&amp;_PDAF_Summary'!$B$4:$E$18,4,0),1)</f>
        <v>1</v>
      </c>
      <c r="AT99" s="93" t="str">
        <f t="shared" si="12"/>
        <v>N/A</v>
      </c>
      <c r="AU99" s="93" t="str">
        <f t="shared" si="13"/>
        <v>N/A</v>
      </c>
      <c r="AV99" s="93">
        <v>14</v>
      </c>
      <c r="AW99" s="93" t="str">
        <f t="shared" si="14"/>
        <v>N/A</v>
      </c>
      <c r="AY99" s="93" t="str">
        <f t="shared" si="16"/>
        <v>N/A</v>
      </c>
      <c r="AZ99" s="98" t="str">
        <f>IF($E99="PGE",($AZ$4*$L99)+'[1]Water Costs'!I$16-AW99,IF($E99="SCE",$AZ$4+'[1]Water Costs'!$I$9,"N/A"))</f>
        <v>N/A</v>
      </c>
      <c r="BA99" s="98"/>
      <c r="BB99" s="93">
        <f t="shared" si="11"/>
        <v>14</v>
      </c>
    </row>
    <row r="100" spans="1:54" hidden="1" x14ac:dyDescent="0.35">
      <c r="A100" s="93" t="s">
        <v>139</v>
      </c>
      <c r="B100" s="93" t="s">
        <v>140</v>
      </c>
      <c r="C100" s="93" t="s">
        <v>141</v>
      </c>
      <c r="D100" s="111">
        <v>40944</v>
      </c>
      <c r="E100" s="93" t="s">
        <v>191</v>
      </c>
      <c r="F100" s="93" t="s">
        <v>174</v>
      </c>
      <c r="G100" s="93" t="s">
        <v>143</v>
      </c>
      <c r="H100" s="93" t="s">
        <v>144</v>
      </c>
      <c r="I100" s="93" t="s">
        <v>186</v>
      </c>
      <c r="J100" s="102" t="str">
        <f t="shared" si="15"/>
        <v>SFmCZ15</v>
      </c>
      <c r="K100" s="93" t="s">
        <v>146</v>
      </c>
      <c r="L100" s="93">
        <v>1.6</v>
      </c>
      <c r="M100" s="93">
        <v>1600</v>
      </c>
      <c r="N100" s="93" t="s">
        <v>147</v>
      </c>
      <c r="O100" s="93">
        <v>0</v>
      </c>
      <c r="P100" s="93">
        <v>0</v>
      </c>
      <c r="Q100" s="93">
        <v>0</v>
      </c>
      <c r="R100" s="93">
        <v>3300</v>
      </c>
      <c r="S100" s="93">
        <v>2.97</v>
      </c>
      <c r="T100" s="93">
        <v>-22.2</v>
      </c>
      <c r="U100" s="93">
        <v>0</v>
      </c>
      <c r="V100" s="93">
        <v>0</v>
      </c>
      <c r="W100" s="93">
        <v>0</v>
      </c>
      <c r="X100" s="93">
        <v>1810</v>
      </c>
      <c r="Y100" s="93">
        <v>1.89</v>
      </c>
      <c r="Z100" s="93">
        <v>-22.4</v>
      </c>
      <c r="AC100" s="93">
        <v>2</v>
      </c>
      <c r="AD100" s="93" t="s">
        <v>175</v>
      </c>
      <c r="AE100" s="93" t="s">
        <v>149</v>
      </c>
      <c r="AF100" s="93" t="s">
        <v>187</v>
      </c>
      <c r="AG100" s="93" t="s">
        <v>192</v>
      </c>
      <c r="AH100" s="93" t="s">
        <v>139</v>
      </c>
      <c r="AI100" s="93" t="s">
        <v>147</v>
      </c>
      <c r="AJ100" s="93" t="s">
        <v>37</v>
      </c>
      <c r="AK100" s="93" t="s">
        <v>152</v>
      </c>
      <c r="AM100" s="93" t="s">
        <v>37</v>
      </c>
      <c r="AN100" s="93" t="s">
        <v>153</v>
      </c>
      <c r="AO100" s="93" t="s">
        <v>154</v>
      </c>
      <c r="AP100" s="93" t="s">
        <v>155</v>
      </c>
      <c r="AQ100" s="113">
        <f>IF($E100="SCE",VLOOKUP($BB100,'[1]ESAF_&amp;_PDAF_Summary'!$B$4:$D$18,2,0),1)</f>
        <v>1</v>
      </c>
      <c r="AR100" s="113">
        <f>IF($E100="SCE",VLOOKUP($BB100,'[1]ESAF_&amp;_PDAF_Summary'!$B$4:$D$18,3,0),1)</f>
        <v>1</v>
      </c>
      <c r="AS100" s="113">
        <f>IF($E100="SCE",VLOOKUP($BB100,'[1]ESAF_&amp;_PDAF_Summary'!$B$4:$E$18,4,0),1)</f>
        <v>1</v>
      </c>
      <c r="AT100" s="93" t="str">
        <f t="shared" si="12"/>
        <v>N/A</v>
      </c>
      <c r="AU100" s="93" t="str">
        <f t="shared" si="13"/>
        <v>N/A</v>
      </c>
      <c r="AV100" s="93">
        <v>15</v>
      </c>
      <c r="AW100" s="93" t="str">
        <f t="shared" si="14"/>
        <v>N/A</v>
      </c>
      <c r="AY100" s="93" t="str">
        <f t="shared" si="16"/>
        <v>N/A</v>
      </c>
      <c r="AZ100" s="98" t="str">
        <f>IF($E100="PGE",($AZ$4*$L100)+'[1]Water Costs'!I$16-AW100,IF($E100="SCE",$AZ$4+'[1]Water Costs'!$I$9,"N/A"))</f>
        <v>N/A</v>
      </c>
      <c r="BA100" s="98"/>
      <c r="BB100" s="93">
        <f t="shared" si="11"/>
        <v>15</v>
      </c>
    </row>
    <row r="102" spans="1:54" x14ac:dyDescent="0.35">
      <c r="AU102" s="93"/>
    </row>
    <row r="103" spans="1:54" x14ac:dyDescent="0.35">
      <c r="AU103" s="93"/>
    </row>
    <row r="104" spans="1:54" x14ac:dyDescent="0.35">
      <c r="AU104" s="93"/>
    </row>
    <row r="105" spans="1:54" x14ac:dyDescent="0.35">
      <c r="AU105" s="93"/>
    </row>
    <row r="106" spans="1:54" x14ac:dyDescent="0.35">
      <c r="AU106" s="93"/>
    </row>
    <row r="107" spans="1:54" x14ac:dyDescent="0.35">
      <c r="AT107" s="95"/>
      <c r="AU107" s="93"/>
    </row>
    <row r="108" spans="1:54" x14ac:dyDescent="0.35">
      <c r="AU108" s="93"/>
    </row>
    <row r="109" spans="1:54" x14ac:dyDescent="0.35">
      <c r="AT109" s="95"/>
      <c r="AU109" s="93"/>
    </row>
    <row r="110" spans="1:54" x14ac:dyDescent="0.35">
      <c r="AT110" s="95"/>
      <c r="AU110" s="93"/>
    </row>
    <row r="111" spans="1:54" x14ac:dyDescent="0.35">
      <c r="AT111" s="95"/>
      <c r="AU111" s="93"/>
    </row>
    <row r="112" spans="1:54" x14ac:dyDescent="0.35">
      <c r="AU112" s="93"/>
    </row>
    <row r="113" spans="46:47" x14ac:dyDescent="0.35">
      <c r="AU113" s="93"/>
    </row>
    <row r="114" spans="46:47" x14ac:dyDescent="0.35">
      <c r="AT114" s="95"/>
      <c r="AU114" s="93"/>
    </row>
    <row r="115" spans="46:47" x14ac:dyDescent="0.35">
      <c r="AT115" s="95"/>
      <c r="AU115" s="93"/>
    </row>
    <row r="116" spans="46:47" x14ac:dyDescent="0.35">
      <c r="AT116" s="95"/>
      <c r="AU116" s="93"/>
    </row>
    <row r="117" spans="46:47" x14ac:dyDescent="0.35">
      <c r="AU117" s="93"/>
    </row>
    <row r="118" spans="46:47" x14ac:dyDescent="0.35">
      <c r="AU118" s="93"/>
    </row>
    <row r="119" spans="46:47" x14ac:dyDescent="0.35">
      <c r="AU119" s="93"/>
    </row>
    <row r="120" spans="46:47" x14ac:dyDescent="0.35">
      <c r="AU120" s="93"/>
    </row>
    <row r="121" spans="46:47" x14ac:dyDescent="0.35">
      <c r="AU121" s="93"/>
    </row>
    <row r="122" spans="46:47" x14ac:dyDescent="0.35">
      <c r="AU122" s="93"/>
    </row>
  </sheetData>
  <autoFilter ref="A5:BC100">
    <filterColumn colId="4">
      <filters>
        <filter val="PGE"/>
      </filters>
    </filterColumn>
  </autoFilter>
  <mergeCells count="1">
    <mergeCell ref="BD4:BE4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Cost Summary</vt:lpstr>
      <vt:lpstr>Residential Cost</vt:lpstr>
      <vt:lpstr>Escalation Factor</vt:lpstr>
      <vt:lpstr>PGE Cost Source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Subramanya, Arvind</dc:creator>
  <cp:lastModifiedBy>Joseph Ling</cp:lastModifiedBy>
  <dcterms:created xsi:type="dcterms:W3CDTF">2016-12-01T14:20:30Z</dcterms:created>
  <dcterms:modified xsi:type="dcterms:W3CDTF">2018-05-21T15:18:23Z</dcterms:modified>
</cp:coreProperties>
</file>